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V772" i="1"/>
  <c r="U772"/>
  <c r="V771"/>
  <c r="U771"/>
  <c r="V770"/>
  <c r="U770"/>
  <c r="V769"/>
  <c r="U769"/>
  <c r="V768"/>
  <c r="U768"/>
  <c r="V767"/>
  <c r="U767"/>
  <c r="V766"/>
  <c r="U766"/>
  <c r="V765"/>
  <c r="U765"/>
  <c r="V764"/>
  <c r="U764"/>
  <c r="V763"/>
  <c r="U763"/>
  <c r="V762"/>
  <c r="U762"/>
  <c r="V761"/>
  <c r="U761"/>
  <c r="V760"/>
  <c r="U760"/>
  <c r="V759"/>
  <c r="U759"/>
  <c r="V758"/>
  <c r="U758"/>
  <c r="V757"/>
  <c r="U757"/>
  <c r="V756"/>
  <c r="U756"/>
  <c r="V755"/>
  <c r="U755"/>
  <c r="V754"/>
  <c r="U754"/>
  <c r="V753"/>
  <c r="U753"/>
  <c r="V752"/>
  <c r="U752"/>
  <c r="V751"/>
  <c r="U751"/>
  <c r="V750"/>
  <c r="U750"/>
  <c r="V749"/>
  <c r="U749"/>
  <c r="V748"/>
  <c r="U748"/>
  <c r="V747"/>
  <c r="U747"/>
  <c r="V746"/>
  <c r="U746"/>
  <c r="V745"/>
  <c r="U745"/>
  <c r="V744"/>
  <c r="U744"/>
  <c r="U743"/>
  <c r="V742"/>
  <c r="U742"/>
  <c r="V741"/>
  <c r="U741"/>
  <c r="V740"/>
  <c r="U740"/>
  <c r="V739"/>
  <c r="U739"/>
  <c r="V738"/>
  <c r="U738"/>
  <c r="V737"/>
  <c r="U737"/>
  <c r="V736"/>
  <c r="U736"/>
  <c r="V735"/>
  <c r="U735"/>
  <c r="V734"/>
  <c r="U734"/>
  <c r="V733"/>
  <c r="U733"/>
  <c r="V732"/>
  <c r="U732"/>
  <c r="V731"/>
  <c r="U731"/>
  <c r="V730"/>
  <c r="U730"/>
  <c r="V729"/>
  <c r="U729"/>
  <c r="V728"/>
  <c r="U728"/>
  <c r="V727"/>
  <c r="U727"/>
  <c r="V726"/>
  <c r="U726"/>
  <c r="U725"/>
  <c r="V724"/>
  <c r="U724"/>
  <c r="V723"/>
  <c r="U723"/>
  <c r="V722"/>
  <c r="U722"/>
  <c r="V721"/>
  <c r="U721"/>
  <c r="V720"/>
  <c r="U720"/>
  <c r="V719"/>
  <c r="U719"/>
  <c r="V718"/>
  <c r="U718"/>
  <c r="V717"/>
  <c r="U717"/>
  <c r="V716"/>
  <c r="U716"/>
  <c r="V715"/>
  <c r="U715"/>
  <c r="V714"/>
  <c r="U714"/>
  <c r="V713"/>
  <c r="U713"/>
  <c r="V712"/>
  <c r="U712"/>
  <c r="V711"/>
  <c r="U711"/>
  <c r="V710"/>
  <c r="U710"/>
  <c r="V709"/>
  <c r="U709"/>
  <c r="V708"/>
  <c r="U708"/>
  <c r="V707"/>
  <c r="U707"/>
  <c r="V706"/>
  <c r="U706"/>
  <c r="V705"/>
  <c r="U705"/>
  <c r="V704"/>
  <c r="U704"/>
  <c r="V703"/>
  <c r="U703"/>
  <c r="V702"/>
  <c r="U702"/>
  <c r="V701"/>
  <c r="U701"/>
  <c r="V700"/>
  <c r="U700"/>
  <c r="V699"/>
  <c r="U699"/>
  <c r="V698"/>
  <c r="U698"/>
  <c r="U697"/>
  <c r="V696"/>
  <c r="U696"/>
  <c r="U695"/>
  <c r="V694"/>
  <c r="U694"/>
  <c r="V693"/>
  <c r="U693"/>
  <c r="U692"/>
  <c r="V691"/>
  <c r="U691"/>
  <c r="V690"/>
  <c r="U690"/>
  <c r="V689"/>
  <c r="U689"/>
  <c r="V688"/>
  <c r="U688"/>
  <c r="U687"/>
  <c r="V686"/>
  <c r="U686"/>
  <c r="V685"/>
  <c r="U685"/>
  <c r="V684"/>
  <c r="U684"/>
  <c r="V683"/>
  <c r="U683"/>
  <c r="V681"/>
  <c r="U681"/>
  <c r="V680"/>
  <c r="U680"/>
  <c r="V679"/>
  <c r="U679"/>
  <c r="V678"/>
  <c r="U678"/>
  <c r="V677"/>
  <c r="U677"/>
  <c r="V676"/>
  <c r="U676"/>
  <c r="V675"/>
  <c r="U675"/>
  <c r="V674"/>
  <c r="U674"/>
  <c r="V673"/>
  <c r="U673"/>
  <c r="V672"/>
  <c r="U672"/>
  <c r="V671"/>
  <c r="U671"/>
  <c r="V670"/>
  <c r="U670"/>
  <c r="V669"/>
  <c r="U669"/>
  <c r="V668"/>
  <c r="U668"/>
  <c r="V667"/>
  <c r="U667"/>
  <c r="V666"/>
  <c r="U666"/>
  <c r="U665"/>
  <c r="V664"/>
  <c r="U664"/>
  <c r="V663"/>
  <c r="U663"/>
  <c r="V662"/>
  <c r="U662"/>
  <c r="V661"/>
  <c r="U661"/>
  <c r="V660"/>
  <c r="U660"/>
  <c r="V659"/>
  <c r="U659"/>
  <c r="U658"/>
  <c r="V657"/>
  <c r="U657"/>
  <c r="V656"/>
  <c r="U656"/>
  <c r="V655"/>
  <c r="U655"/>
  <c r="V654"/>
  <c r="U654"/>
  <c r="V653"/>
  <c r="U653"/>
  <c r="V652"/>
  <c r="U652"/>
  <c r="V651"/>
  <c r="U651"/>
  <c r="V650"/>
  <c r="U650"/>
  <c r="V649"/>
  <c r="U649"/>
  <c r="V648"/>
  <c r="U648"/>
  <c r="V647"/>
  <c r="U647"/>
  <c r="V646"/>
  <c r="U646"/>
  <c r="V645"/>
  <c r="U645"/>
  <c r="V644"/>
  <c r="U644"/>
  <c r="V643"/>
  <c r="U643"/>
  <c r="V642"/>
  <c r="U642"/>
  <c r="V641"/>
  <c r="U641"/>
  <c r="V640"/>
  <c r="U640"/>
  <c r="V639"/>
  <c r="U639"/>
  <c r="V638"/>
  <c r="U638"/>
  <c r="V637"/>
  <c r="U637"/>
  <c r="V636"/>
  <c r="U636"/>
  <c r="V635"/>
  <c r="U635"/>
  <c r="V634"/>
  <c r="U634"/>
  <c r="V633"/>
  <c r="U633"/>
  <c r="V632"/>
  <c r="U632"/>
  <c r="V631"/>
  <c r="U631"/>
  <c r="V630"/>
  <c r="U630"/>
  <c r="V629"/>
  <c r="U629"/>
  <c r="V628"/>
  <c r="U628"/>
  <c r="V627"/>
  <c r="U627"/>
  <c r="V626"/>
  <c r="U626"/>
  <c r="V625"/>
  <c r="U625"/>
  <c r="V624"/>
  <c r="U624"/>
  <c r="V623"/>
  <c r="V622"/>
  <c r="U622"/>
  <c r="V621"/>
  <c r="U621"/>
  <c r="V620"/>
  <c r="U620"/>
  <c r="V619"/>
  <c r="U619"/>
  <c r="V618"/>
  <c r="U618"/>
  <c r="V617"/>
  <c r="U617"/>
  <c r="V616"/>
  <c r="U616"/>
  <c r="V615"/>
  <c r="U615"/>
  <c r="V614"/>
  <c r="U614"/>
  <c r="V613"/>
  <c r="U613"/>
  <c r="V612"/>
  <c r="U612"/>
  <c r="V611"/>
  <c r="U611"/>
  <c r="V610"/>
  <c r="U610"/>
  <c r="V609"/>
  <c r="U609"/>
  <c r="V608"/>
  <c r="U608"/>
  <c r="V607"/>
  <c r="U607"/>
  <c r="V606"/>
  <c r="U606"/>
  <c r="V605"/>
  <c r="U605"/>
  <c r="V604"/>
  <c r="U604"/>
  <c r="V603"/>
  <c r="U603"/>
  <c r="V602"/>
  <c r="U602"/>
  <c r="V601"/>
  <c r="U601"/>
  <c r="V599"/>
  <c r="U599"/>
  <c r="V598"/>
  <c r="U598"/>
  <c r="V597"/>
  <c r="U597"/>
  <c r="V596"/>
  <c r="U596"/>
  <c r="V595"/>
  <c r="U595"/>
  <c r="V594"/>
  <c r="U594"/>
  <c r="V593"/>
  <c r="U593"/>
  <c r="V592"/>
  <c r="U592"/>
  <c r="V591"/>
  <c r="U591"/>
  <c r="U590"/>
  <c r="V589"/>
  <c r="U589"/>
  <c r="V588"/>
  <c r="U588"/>
  <c r="V587"/>
  <c r="U587"/>
  <c r="V586"/>
  <c r="U586"/>
  <c r="V585"/>
  <c r="U585"/>
  <c r="V584"/>
  <c r="U584"/>
  <c r="V583"/>
  <c r="U583"/>
  <c r="V582"/>
  <c r="U582"/>
  <c r="V581"/>
  <c r="U581"/>
  <c r="V579"/>
  <c r="U579"/>
  <c r="V578"/>
  <c r="U578"/>
  <c r="V577"/>
  <c r="U577"/>
  <c r="V576"/>
  <c r="U576"/>
  <c r="U575"/>
  <c r="V574"/>
  <c r="U574"/>
  <c r="U573"/>
  <c r="V572"/>
  <c r="U572"/>
  <c r="V571"/>
  <c r="U571"/>
  <c r="V570"/>
  <c r="U570"/>
  <c r="V569"/>
  <c r="U569"/>
  <c r="V568"/>
  <c r="U568"/>
  <c r="V567"/>
  <c r="U567"/>
  <c r="V566"/>
  <c r="U566"/>
  <c r="V565"/>
  <c r="U565"/>
  <c r="V564"/>
  <c r="U564"/>
  <c r="V563"/>
  <c r="U563"/>
  <c r="V562"/>
  <c r="U562"/>
  <c r="V561"/>
  <c r="U561"/>
  <c r="V560"/>
  <c r="U560"/>
  <c r="U559"/>
  <c r="V558"/>
  <c r="U558"/>
  <c r="U557"/>
  <c r="U556"/>
  <c r="V555"/>
  <c r="U555"/>
  <c r="V554"/>
  <c r="U554"/>
  <c r="V553"/>
  <c r="U553"/>
  <c r="V552"/>
  <c r="U552"/>
  <c r="V551"/>
  <c r="U551"/>
  <c r="V550"/>
  <c r="U550"/>
  <c r="V549"/>
  <c r="U549"/>
  <c r="V548"/>
  <c r="U548"/>
  <c r="V547"/>
  <c r="U547"/>
  <c r="V546"/>
  <c r="U546"/>
  <c r="V545"/>
  <c r="U545"/>
  <c r="V544"/>
  <c r="U544"/>
  <c r="V543"/>
  <c r="U543"/>
  <c r="V542"/>
  <c r="U542"/>
  <c r="V541"/>
  <c r="U541"/>
  <c r="U540"/>
  <c r="V539"/>
  <c r="U539"/>
  <c r="V538"/>
  <c r="U538"/>
  <c r="V537"/>
  <c r="U537"/>
  <c r="V536"/>
  <c r="U536"/>
  <c r="V535"/>
  <c r="U535"/>
  <c r="V534"/>
  <c r="U534"/>
  <c r="V533"/>
  <c r="U533"/>
  <c r="V532"/>
  <c r="U532"/>
  <c r="V531"/>
  <c r="U531"/>
  <c r="V530"/>
  <c r="U530"/>
  <c r="V529"/>
  <c r="U529"/>
  <c r="V528"/>
  <c r="U528"/>
  <c r="V527"/>
  <c r="U527"/>
  <c r="V526"/>
  <c r="U526"/>
  <c r="V525"/>
  <c r="U525"/>
  <c r="V524"/>
  <c r="U524"/>
  <c r="V523"/>
  <c r="U523"/>
  <c r="V522"/>
  <c r="U522"/>
  <c r="V521"/>
  <c r="U521"/>
  <c r="V520"/>
  <c r="U520"/>
  <c r="V519"/>
  <c r="U519"/>
  <c r="V518"/>
  <c r="U518"/>
  <c r="V517"/>
  <c r="U517"/>
  <c r="V516"/>
  <c r="U516"/>
  <c r="V515"/>
  <c r="U515"/>
  <c r="V514"/>
  <c r="U514"/>
  <c r="V513"/>
  <c r="U513"/>
  <c r="V512"/>
  <c r="U512"/>
  <c r="V511"/>
  <c r="U511"/>
  <c r="V510"/>
  <c r="U510"/>
  <c r="V509"/>
  <c r="U509"/>
  <c r="V508"/>
  <c r="U508"/>
  <c r="V507"/>
  <c r="U507"/>
  <c r="V506"/>
  <c r="U506"/>
  <c r="V505"/>
  <c r="U505"/>
  <c r="V504"/>
  <c r="U504"/>
  <c r="V503"/>
  <c r="U503"/>
  <c r="V502"/>
  <c r="U502"/>
  <c r="V501"/>
  <c r="U501"/>
  <c r="V500"/>
  <c r="U500"/>
  <c r="V499"/>
  <c r="U499"/>
  <c r="V498"/>
  <c r="U498"/>
  <c r="V497"/>
  <c r="U497"/>
  <c r="V496"/>
  <c r="U496"/>
  <c r="V495"/>
  <c r="U495"/>
  <c r="V494"/>
  <c r="U494"/>
  <c r="V493"/>
  <c r="U493"/>
  <c r="V492"/>
  <c r="U492"/>
  <c r="V491"/>
  <c r="U491"/>
  <c r="V490"/>
  <c r="U490"/>
  <c r="U489"/>
  <c r="U488"/>
  <c r="V487"/>
  <c r="U487"/>
  <c r="V486"/>
  <c r="U486"/>
  <c r="V485"/>
  <c r="U485"/>
  <c r="V484"/>
  <c r="U484"/>
  <c r="V483"/>
  <c r="U483"/>
  <c r="V482"/>
  <c r="U482"/>
  <c r="V481"/>
  <c r="U481"/>
  <c r="V480"/>
  <c r="U480"/>
  <c r="V479"/>
  <c r="U479"/>
  <c r="V478"/>
  <c r="U478"/>
  <c r="V477"/>
  <c r="U477"/>
  <c r="V476"/>
  <c r="U476"/>
  <c r="V475"/>
  <c r="U475"/>
  <c r="V474"/>
  <c r="U474"/>
  <c r="V473"/>
  <c r="U473"/>
  <c r="V472"/>
  <c r="U472"/>
  <c r="V471"/>
  <c r="U471"/>
  <c r="V470"/>
  <c r="U470"/>
  <c r="V469"/>
  <c r="U469"/>
  <c r="V468"/>
  <c r="U468"/>
  <c r="V467"/>
  <c r="U467"/>
  <c r="V466"/>
  <c r="U466"/>
  <c r="V465"/>
  <c r="U465"/>
  <c r="V464"/>
  <c r="U464"/>
  <c r="V463"/>
  <c r="U463"/>
  <c r="V462"/>
  <c r="U462"/>
  <c r="V461"/>
  <c r="U461"/>
  <c r="V460"/>
  <c r="U460"/>
  <c r="V459"/>
  <c r="U459"/>
  <c r="V458"/>
  <c r="U458"/>
  <c r="V457"/>
  <c r="U457"/>
  <c r="V456"/>
  <c r="U456"/>
  <c r="V455"/>
  <c r="U455"/>
  <c r="U454"/>
  <c r="V453"/>
  <c r="U453"/>
  <c r="U452"/>
  <c r="V451"/>
  <c r="U451"/>
  <c r="V450"/>
  <c r="U450"/>
  <c r="V449"/>
  <c r="U449"/>
  <c r="V448"/>
  <c r="U448"/>
  <c r="V447"/>
  <c r="U447"/>
  <c r="V446"/>
  <c r="U446"/>
  <c r="V445"/>
  <c r="U445"/>
  <c r="V444"/>
  <c r="U444"/>
  <c r="V443"/>
  <c r="U443"/>
  <c r="V442"/>
  <c r="U442"/>
  <c r="V441"/>
  <c r="U441"/>
  <c r="V440"/>
  <c r="U440"/>
  <c r="V439"/>
  <c r="U439"/>
  <c r="V438"/>
  <c r="U438"/>
  <c r="V437"/>
  <c r="U437"/>
  <c r="V436"/>
  <c r="U436"/>
  <c r="V435"/>
  <c r="U435"/>
  <c r="V434"/>
  <c r="U434"/>
  <c r="V433"/>
  <c r="U433"/>
  <c r="V432"/>
  <c r="U432"/>
  <c r="V431"/>
  <c r="U431"/>
  <c r="V430"/>
  <c r="U430"/>
  <c r="V429"/>
  <c r="U429"/>
  <c r="V428"/>
  <c r="U428"/>
  <c r="V427"/>
  <c r="U427"/>
  <c r="V426"/>
  <c r="U426"/>
  <c r="U425"/>
  <c r="V423"/>
  <c r="U423"/>
  <c r="V422"/>
  <c r="U422"/>
  <c r="V421"/>
  <c r="U421"/>
  <c r="V420"/>
  <c r="U420"/>
  <c r="V419"/>
  <c r="U419"/>
  <c r="V418"/>
  <c r="U418"/>
  <c r="V417"/>
  <c r="U417"/>
  <c r="V416"/>
  <c r="U416"/>
  <c r="V415"/>
  <c r="U415"/>
  <c r="V414"/>
  <c r="U414"/>
  <c r="V413"/>
  <c r="U413"/>
  <c r="V412"/>
  <c r="U412"/>
  <c r="V411"/>
  <c r="U411"/>
  <c r="V410"/>
  <c r="U410"/>
  <c r="V409"/>
  <c r="U409"/>
  <c r="V408"/>
  <c r="U408"/>
  <c r="V407"/>
  <c r="U407"/>
  <c r="V406"/>
  <c r="U406"/>
  <c r="V405"/>
  <c r="U405"/>
  <c r="V404"/>
  <c r="U404"/>
  <c r="V403"/>
  <c r="U403"/>
  <c r="V402"/>
  <c r="U402"/>
  <c r="V401"/>
  <c r="U401"/>
  <c r="V400"/>
  <c r="U400"/>
  <c r="V399"/>
  <c r="U399"/>
  <c r="V398"/>
  <c r="U398"/>
  <c r="V397"/>
  <c r="U397"/>
  <c r="U393"/>
  <c r="U392"/>
  <c r="V391"/>
  <c r="U391"/>
  <c r="V390"/>
  <c r="U390"/>
  <c r="V389"/>
  <c r="U389"/>
  <c r="V388"/>
  <c r="U388"/>
  <c r="V387"/>
  <c r="U387"/>
  <c r="V386"/>
  <c r="U386"/>
  <c r="V385"/>
  <c r="U385"/>
  <c r="V384"/>
  <c r="U384"/>
  <c r="V383"/>
  <c r="U383"/>
  <c r="V382"/>
  <c r="U382"/>
  <c r="V381"/>
  <c r="U381"/>
  <c r="V380"/>
  <c r="U380"/>
  <c r="V379"/>
  <c r="U379"/>
  <c r="V378"/>
  <c r="U378"/>
  <c r="V377"/>
  <c r="U377"/>
  <c r="V376"/>
  <c r="U376"/>
  <c r="V375"/>
  <c r="U375"/>
  <c r="V374"/>
  <c r="U374"/>
  <c r="V373"/>
  <c r="U373"/>
  <c r="V372"/>
  <c r="U372"/>
  <c r="V371"/>
  <c r="U371"/>
  <c r="V370"/>
  <c r="U370"/>
  <c r="V369"/>
  <c r="U369"/>
  <c r="V368"/>
  <c r="U368"/>
  <c r="V367"/>
  <c r="U367"/>
  <c r="V366"/>
  <c r="U366"/>
  <c r="V365"/>
  <c r="U365"/>
  <c r="V364"/>
  <c r="U364"/>
  <c r="U363"/>
  <c r="U362"/>
  <c r="V361"/>
  <c r="U361"/>
  <c r="V360"/>
  <c r="U360"/>
  <c r="V359"/>
  <c r="U359"/>
  <c r="V358"/>
  <c r="U358"/>
  <c r="V357"/>
  <c r="U357"/>
  <c r="V356"/>
  <c r="U356"/>
  <c r="V355"/>
  <c r="U355"/>
  <c r="U354"/>
  <c r="U353"/>
  <c r="U352"/>
  <c r="U351"/>
  <c r="U350"/>
  <c r="U349"/>
  <c r="U348"/>
  <c r="U347"/>
  <c r="U346"/>
  <c r="U345"/>
  <c r="U344"/>
  <c r="U343"/>
  <c r="U342"/>
  <c r="U341"/>
  <c r="U340"/>
  <c r="U339"/>
  <c r="U338"/>
  <c r="U337"/>
  <c r="V336"/>
  <c r="U336"/>
  <c r="V335"/>
  <c r="U335"/>
  <c r="V334"/>
  <c r="U334"/>
  <c r="V333"/>
  <c r="U333"/>
  <c r="V332"/>
  <c r="U332"/>
  <c r="V331"/>
  <c r="U331"/>
  <c r="V330"/>
  <c r="U330"/>
  <c r="V329"/>
  <c r="U329"/>
  <c r="V328"/>
  <c r="U328"/>
  <c r="V327"/>
  <c r="U327"/>
  <c r="V326"/>
  <c r="U326"/>
  <c r="V325"/>
  <c r="U325"/>
  <c r="V324"/>
  <c r="U324"/>
  <c r="V323"/>
  <c r="U323"/>
  <c r="V322"/>
  <c r="U322"/>
  <c r="V321"/>
  <c r="U321"/>
  <c r="V320"/>
  <c r="U320"/>
  <c r="V319"/>
  <c r="U319"/>
  <c r="V318"/>
  <c r="U318"/>
  <c r="V317"/>
  <c r="U317"/>
  <c r="V316"/>
  <c r="U316"/>
  <c r="V315"/>
  <c r="U315"/>
  <c r="V314"/>
  <c r="U314"/>
  <c r="V313"/>
  <c r="U313"/>
  <c r="V312"/>
  <c r="U312"/>
  <c r="V311"/>
  <c r="U311"/>
  <c r="V310"/>
  <c r="U310"/>
  <c r="V309"/>
  <c r="U309"/>
  <c r="V308"/>
  <c r="U308"/>
  <c r="V307"/>
  <c r="U307"/>
  <c r="V306"/>
  <c r="U306"/>
  <c r="V305"/>
  <c r="U305"/>
  <c r="V304"/>
  <c r="U304"/>
  <c r="V303"/>
  <c r="U303"/>
  <c r="V302"/>
  <c r="U302"/>
  <c r="V301"/>
  <c r="U301"/>
  <c r="V300"/>
  <c r="U300"/>
  <c r="V299"/>
  <c r="U299"/>
  <c r="V298"/>
  <c r="U298"/>
  <c r="V297"/>
  <c r="U297"/>
  <c r="V296"/>
  <c r="U296"/>
  <c r="V295"/>
  <c r="U295"/>
  <c r="V294"/>
  <c r="U294"/>
  <c r="V293"/>
  <c r="U293"/>
  <c r="V292"/>
  <c r="U292"/>
  <c r="V291"/>
  <c r="U291"/>
  <c r="V290"/>
  <c r="U290"/>
  <c r="V289"/>
  <c r="U289"/>
  <c r="V288"/>
  <c r="U288"/>
  <c r="V287"/>
  <c r="U287"/>
  <c r="V286"/>
  <c r="U286"/>
  <c r="V285"/>
  <c r="U285"/>
  <c r="V284"/>
  <c r="U284"/>
  <c r="V283"/>
  <c r="U283"/>
  <c r="V282"/>
  <c r="U282"/>
  <c r="V281"/>
  <c r="U281"/>
  <c r="V280"/>
  <c r="U280"/>
  <c r="V279"/>
  <c r="U279"/>
  <c r="V278"/>
  <c r="U278"/>
  <c r="V277"/>
  <c r="U277"/>
  <c r="V276"/>
  <c r="U276"/>
  <c r="V275"/>
  <c r="U275"/>
  <c r="U274"/>
  <c r="V273"/>
  <c r="U273"/>
  <c r="V272"/>
  <c r="U272"/>
  <c r="V271"/>
  <c r="U271"/>
  <c r="V270"/>
  <c r="U270"/>
  <c r="V269"/>
  <c r="U269"/>
  <c r="V268"/>
  <c r="U268"/>
  <c r="V267"/>
  <c r="U267"/>
  <c r="V266"/>
  <c r="U266"/>
  <c r="V265"/>
  <c r="U265"/>
  <c r="V264"/>
  <c r="U264"/>
  <c r="V263"/>
  <c r="U263"/>
  <c r="V262"/>
  <c r="U262"/>
  <c r="V261"/>
  <c r="U261"/>
  <c r="V260"/>
  <c r="U260"/>
  <c r="V259"/>
  <c r="U259"/>
  <c r="V258"/>
  <c r="U258"/>
  <c r="U257"/>
  <c r="V256"/>
  <c r="U256"/>
  <c r="V255"/>
  <c r="U255"/>
  <c r="V254"/>
  <c r="U254"/>
  <c r="V253"/>
  <c r="U253"/>
  <c r="V252"/>
  <c r="U252"/>
  <c r="V251"/>
  <c r="U251"/>
  <c r="V250"/>
  <c r="U250"/>
  <c r="V249"/>
  <c r="U249"/>
  <c r="V248"/>
  <c r="U248"/>
  <c r="V247"/>
  <c r="U247"/>
  <c r="V246"/>
  <c r="U246"/>
  <c r="V245"/>
  <c r="U245"/>
  <c r="V244"/>
  <c r="U244"/>
  <c r="V243"/>
  <c r="U243"/>
  <c r="V242"/>
  <c r="U242"/>
  <c r="V241"/>
  <c r="U241"/>
  <c r="V240"/>
  <c r="U240"/>
  <c r="V239"/>
  <c r="U239"/>
  <c r="V238"/>
  <c r="U238"/>
  <c r="U237"/>
  <c r="V236"/>
  <c r="U236"/>
  <c r="V235"/>
  <c r="U235"/>
  <c r="U234"/>
  <c r="V233"/>
  <c r="U233"/>
  <c r="V232"/>
  <c r="U232"/>
  <c r="V231"/>
  <c r="U231"/>
  <c r="V230"/>
  <c r="U230"/>
  <c r="V229"/>
  <c r="U229"/>
  <c r="V228"/>
  <c r="U228"/>
  <c r="V227"/>
  <c r="U227"/>
  <c r="V226"/>
  <c r="U226"/>
  <c r="V225"/>
  <c r="U225"/>
  <c r="V224"/>
  <c r="U224"/>
  <c r="V223"/>
  <c r="U223"/>
  <c r="V222"/>
  <c r="U222"/>
  <c r="V221"/>
  <c r="U221"/>
  <c r="V220"/>
  <c r="U220"/>
  <c r="V219"/>
  <c r="U219"/>
  <c r="V218"/>
  <c r="U218"/>
  <c r="V217"/>
  <c r="U217"/>
  <c r="V216"/>
  <c r="U216"/>
  <c r="V215"/>
  <c r="U215"/>
  <c r="V214"/>
  <c r="U214"/>
  <c r="V213"/>
  <c r="U213"/>
  <c r="V212"/>
  <c r="U212"/>
  <c r="V211"/>
  <c r="U211"/>
  <c r="V210"/>
  <c r="U210"/>
  <c r="V209"/>
  <c r="U209"/>
  <c r="V208"/>
  <c r="U208"/>
  <c r="U207"/>
  <c r="V206"/>
  <c r="U206"/>
  <c r="V205"/>
  <c r="U205"/>
  <c r="V204"/>
  <c r="U204"/>
  <c r="V203"/>
  <c r="U203"/>
  <c r="V202"/>
  <c r="U202"/>
  <c r="V201"/>
  <c r="U201"/>
  <c r="V200"/>
  <c r="U200"/>
  <c r="U199"/>
  <c r="V198"/>
  <c r="U198"/>
  <c r="V197"/>
  <c r="U197"/>
  <c r="V196"/>
  <c r="U196"/>
  <c r="V195"/>
  <c r="U195"/>
  <c r="V194"/>
  <c r="U194"/>
  <c r="V193"/>
  <c r="U193"/>
  <c r="V192"/>
  <c r="U192"/>
  <c r="V191"/>
  <c r="U191"/>
  <c r="V190"/>
  <c r="U190"/>
  <c r="V189"/>
  <c r="U189"/>
  <c r="V188"/>
  <c r="U188"/>
  <c r="V187"/>
  <c r="U187"/>
  <c r="V186"/>
  <c r="U186"/>
  <c r="V185"/>
  <c r="U185"/>
  <c r="V184"/>
  <c r="U184"/>
  <c r="V183"/>
  <c r="U183"/>
  <c r="V182"/>
  <c r="U182"/>
  <c r="V181"/>
  <c r="U181"/>
  <c r="V180"/>
  <c r="U180"/>
  <c r="V179"/>
  <c r="U179"/>
  <c r="V178"/>
  <c r="U178"/>
  <c r="V177"/>
  <c r="U177"/>
  <c r="V176"/>
  <c r="U176"/>
  <c r="V175"/>
  <c r="U175"/>
  <c r="V174"/>
  <c r="U174"/>
  <c r="V173"/>
  <c r="U173"/>
  <c r="V172"/>
  <c r="U172"/>
  <c r="V171"/>
  <c r="U171"/>
  <c r="V170"/>
  <c r="U170"/>
  <c r="V169"/>
  <c r="U169"/>
  <c r="V168"/>
  <c r="U168"/>
  <c r="V167"/>
  <c r="U167"/>
  <c r="V166"/>
  <c r="U166"/>
  <c r="V165"/>
  <c r="U165"/>
  <c r="V164"/>
  <c r="U164"/>
  <c r="V163"/>
  <c r="U163"/>
  <c r="V162"/>
  <c r="U162"/>
  <c r="V161"/>
  <c r="U161"/>
  <c r="V160"/>
  <c r="U160"/>
  <c r="U159"/>
  <c r="V158"/>
  <c r="U158"/>
  <c r="V157"/>
  <c r="U157"/>
  <c r="V156"/>
  <c r="U156"/>
  <c r="V155"/>
  <c r="U155"/>
  <c r="V154"/>
  <c r="U154"/>
  <c r="V153"/>
  <c r="U153"/>
  <c r="V152"/>
  <c r="U152"/>
  <c r="V151"/>
  <c r="U151"/>
  <c r="V150"/>
  <c r="U150"/>
  <c r="V149"/>
  <c r="U149"/>
  <c r="V148"/>
  <c r="U148"/>
  <c r="V147"/>
  <c r="U147"/>
  <c r="V146"/>
  <c r="U146"/>
  <c r="V145"/>
  <c r="U145"/>
  <c r="V144"/>
  <c r="U144"/>
  <c r="V143"/>
  <c r="U143"/>
  <c r="V142"/>
  <c r="U142"/>
  <c r="V141"/>
  <c r="U141"/>
  <c r="U140"/>
  <c r="V139"/>
  <c r="U139"/>
  <c r="V138"/>
  <c r="U138"/>
  <c r="V137"/>
  <c r="U137"/>
  <c r="V136"/>
  <c r="U136"/>
  <c r="V135"/>
  <c r="U135"/>
  <c r="V134"/>
  <c r="U134"/>
  <c r="V133"/>
  <c r="U133"/>
  <c r="V132"/>
  <c r="U132"/>
  <c r="V131"/>
  <c r="U131"/>
  <c r="V130"/>
  <c r="U130"/>
  <c r="V129"/>
  <c r="U129"/>
  <c r="V128"/>
  <c r="U128"/>
  <c r="V127"/>
  <c r="U127"/>
  <c r="V126"/>
  <c r="U126"/>
  <c r="V125"/>
  <c r="U125"/>
  <c r="V124"/>
  <c r="U124"/>
  <c r="V123"/>
  <c r="U123"/>
  <c r="V122"/>
  <c r="U122"/>
  <c r="V121"/>
  <c r="U121"/>
  <c r="U120"/>
  <c r="U119"/>
  <c r="V118"/>
  <c r="U118"/>
  <c r="V117"/>
  <c r="U117"/>
  <c r="V116"/>
  <c r="U116"/>
  <c r="V115"/>
  <c r="U115"/>
  <c r="V114"/>
  <c r="U114"/>
  <c r="V113"/>
  <c r="U113"/>
  <c r="V112"/>
  <c r="U112"/>
  <c r="V111"/>
  <c r="U111"/>
  <c r="V110"/>
  <c r="U110"/>
  <c r="V109"/>
  <c r="U109"/>
  <c r="V108"/>
  <c r="U108"/>
  <c r="V107"/>
  <c r="U107"/>
  <c r="V106"/>
  <c r="U106"/>
  <c r="V105"/>
  <c r="U105"/>
  <c r="V104"/>
  <c r="U104"/>
  <c r="V103"/>
  <c r="U103"/>
  <c r="V102"/>
  <c r="U102"/>
  <c r="V101"/>
  <c r="U101"/>
  <c r="V100"/>
  <c r="U100"/>
  <c r="V99"/>
  <c r="U99"/>
  <c r="V98"/>
  <c r="U98"/>
  <c r="V97"/>
  <c r="U97"/>
  <c r="V96"/>
  <c r="U96"/>
  <c r="V95"/>
  <c r="U95"/>
  <c r="V94"/>
  <c r="U94"/>
  <c r="V93"/>
  <c r="U93"/>
  <c r="V92"/>
  <c r="U92"/>
  <c r="V91"/>
  <c r="U91"/>
  <c r="V90"/>
  <c r="U90"/>
  <c r="V89"/>
  <c r="U89"/>
  <c r="V88"/>
  <c r="U88"/>
  <c r="V87"/>
  <c r="U87"/>
  <c r="V86"/>
  <c r="U86"/>
  <c r="V85"/>
  <c r="U85"/>
  <c r="V84"/>
  <c r="U84"/>
  <c r="V83"/>
  <c r="U83"/>
  <c r="V82"/>
  <c r="U82"/>
  <c r="V81"/>
  <c r="U81"/>
  <c r="V80"/>
  <c r="U80"/>
  <c r="V79"/>
  <c r="U79"/>
  <c r="V78"/>
  <c r="U78"/>
  <c r="V77"/>
  <c r="U77"/>
  <c r="V76"/>
  <c r="U76"/>
  <c r="V75"/>
  <c r="U75"/>
  <c r="V74"/>
  <c r="U74"/>
  <c r="V73"/>
  <c r="U73"/>
  <c r="V72"/>
  <c r="U72"/>
  <c r="V71"/>
  <c r="U71"/>
  <c r="V70"/>
  <c r="U70"/>
  <c r="V69"/>
  <c r="U69"/>
  <c r="V68"/>
  <c r="U68"/>
  <c r="V67"/>
  <c r="U67"/>
  <c r="V66"/>
  <c r="U66"/>
  <c r="V65"/>
  <c r="U65"/>
  <c r="V64"/>
  <c r="U64"/>
  <c r="V63"/>
  <c r="U63"/>
  <c r="V62"/>
  <c r="U62"/>
  <c r="V61"/>
  <c r="U61"/>
  <c r="V60"/>
  <c r="U60"/>
  <c r="V59"/>
  <c r="U59"/>
  <c r="V58"/>
  <c r="U58"/>
  <c r="V57"/>
  <c r="U57"/>
  <c r="V56"/>
  <c r="U56"/>
  <c r="V55"/>
  <c r="U55"/>
  <c r="V54"/>
  <c r="U54"/>
  <c r="V53"/>
  <c r="U53"/>
  <c r="V52"/>
  <c r="U52"/>
  <c r="V51"/>
  <c r="U51"/>
  <c r="V50"/>
  <c r="U50"/>
  <c r="V49"/>
  <c r="U49"/>
  <c r="V48"/>
  <c r="U48"/>
  <c r="V47"/>
  <c r="U47"/>
  <c r="V46"/>
  <c r="U46"/>
  <c r="V45"/>
  <c r="U45"/>
  <c r="V44"/>
  <c r="U44"/>
  <c r="V43"/>
  <c r="U43"/>
  <c r="V42"/>
  <c r="U42"/>
  <c r="V41"/>
  <c r="U41"/>
  <c r="V40"/>
  <c r="U40"/>
  <c r="V39"/>
  <c r="U39"/>
  <c r="V38"/>
  <c r="U38"/>
  <c r="V37"/>
  <c r="U37"/>
  <c r="V36"/>
  <c r="U36"/>
  <c r="V35"/>
  <c r="U35"/>
  <c r="V34"/>
  <c r="U34"/>
  <c r="V33"/>
  <c r="U33"/>
  <c r="V32"/>
  <c r="U32"/>
  <c r="V31"/>
  <c r="U31"/>
  <c r="V30"/>
  <c r="U30"/>
  <c r="V29"/>
  <c r="U29"/>
  <c r="V28"/>
  <c r="U28"/>
  <c r="V27"/>
  <c r="U27"/>
  <c r="V26"/>
  <c r="U26"/>
  <c r="U25"/>
  <c r="V24"/>
  <c r="U24"/>
  <c r="V23"/>
  <c r="U23"/>
  <c r="V22"/>
  <c r="U22"/>
  <c r="V21"/>
  <c r="U21"/>
  <c r="V20"/>
  <c r="U20"/>
  <c r="V19"/>
  <c r="U19"/>
  <c r="V18"/>
  <c r="U18"/>
  <c r="V17"/>
  <c r="U17"/>
  <c r="V16"/>
  <c r="U16"/>
  <c r="V15"/>
  <c r="U15"/>
  <c r="V14"/>
  <c r="U14"/>
  <c r="V13"/>
  <c r="U13"/>
  <c r="V12"/>
  <c r="U12"/>
  <c r="V11"/>
  <c r="U11"/>
  <c r="V10"/>
  <c r="U10"/>
  <c r="V9"/>
  <c r="U9"/>
  <c r="V8"/>
  <c r="U8"/>
  <c r="A5"/>
  <c r="A4"/>
</calcChain>
</file>

<file path=xl/sharedStrings.xml><?xml version="1.0" encoding="utf-8"?>
<sst xmlns="http://schemas.openxmlformats.org/spreadsheetml/2006/main" count="11211" uniqueCount="4568">
  <si>
    <t>ИНФРА-М Научно-издательский Центр</t>
  </si>
  <si>
    <t>Для публичных библиотек
от 05.11.2025</t>
  </si>
  <si>
    <t>Данный прайс-лист не является публичной офертой</t>
  </si>
  <si>
    <t>127282, Москва г, ул Полярная, д. 31В, стр. 1, помещ 1/1</t>
  </si>
  <si>
    <t>Издательство оставляет за собой право на изменение ассортимента и цен на издания.
Информацию о наличии товара и актуальные цены уточняйте у вашего курирующего менеджера 
или напишите нам на электронную почту books@infra-m.ru</t>
  </si>
  <si>
    <t>тел/факс: +7 (495) 280-15-96</t>
  </si>
  <si>
    <t>Заказ</t>
  </si>
  <si>
    <t>Код</t>
  </si>
  <si>
    <t>Цена опт.</t>
  </si>
  <si>
    <t>Наименование товара</t>
  </si>
  <si>
    <t>Основное заглавие</t>
  </si>
  <si>
    <t>Авторы</t>
  </si>
  <si>
    <t>Оформление</t>
  </si>
  <si>
    <t>Издательство</t>
  </si>
  <si>
    <t>Серия</t>
  </si>
  <si>
    <t>Ст-т</t>
  </si>
  <si>
    <t>Стр.</t>
  </si>
  <si>
    <t>Год</t>
  </si>
  <si>
    <t>ISBN</t>
  </si>
  <si>
    <t>Раздел</t>
  </si>
  <si>
    <t>Подраздел</t>
  </si>
  <si>
    <t>Вид издания</t>
  </si>
  <si>
    <t>Уровень образования</t>
  </si>
  <si>
    <t>ОКСО</t>
  </si>
  <si>
    <t>Гриф МО</t>
  </si>
  <si>
    <t>Доп. мат. на znanium</t>
  </si>
  <si>
    <t>Обложка</t>
  </si>
  <si>
    <t>ЭБС Znanium</t>
  </si>
  <si>
    <t>Аффилиация автора</t>
  </si>
  <si>
    <t>Новинка месяца</t>
  </si>
  <si>
    <t>ПООП</t>
  </si>
  <si>
    <t>К</t>
  </si>
  <si>
    <t>Ш</t>
  </si>
  <si>
    <t>Победитель конкурсов</t>
  </si>
  <si>
    <t>807007.02.01</t>
  </si>
  <si>
    <t>"Как закалялась сталь" Н. Островского...: Моногр. / С.Сунь - М.:НИЦ ИНФРА-М,2026. - 229 с.(Науч.мысль)(о)</t>
  </si>
  <si>
    <t>"КАК ЗАКАЛЯЛАСЬ СТАЛЬ" НИКОЛАЯ ОСТРОВСКОГО: ЛИНГВОКУЛЬТУРОЛОГИЧЕСКИЕ ОСОБЕННОСТИ ПЕРЕВОДА НА КИТАЙСКИЙ И АНГЛИЙСКИЙ ЯЗЫКИ</t>
  </si>
  <si>
    <t>Сунь С., Жирова И.Г.</t>
  </si>
  <si>
    <t>Обложка. КБС</t>
  </si>
  <si>
    <t>НИЦ ИНФРА-М</t>
  </si>
  <si>
    <t>Научная мысль</t>
  </si>
  <si>
    <t>978-5-16-019635-0</t>
  </si>
  <si>
    <t>ГУМАНИТАРНЫЕ НАУКИ. РЕЛИГИЯ. ИСКУССТВО</t>
  </si>
  <si>
    <t>Филологические науки</t>
  </si>
  <si>
    <t>Монография</t>
  </si>
  <si>
    <t>Дополнительное образование / Дополнительное профессиональное образование</t>
  </si>
  <si>
    <t>45.03.02, 45.04.02, 45.05.01</t>
  </si>
  <si>
    <t>Сюйчжоуский технологический институт</t>
  </si>
  <si>
    <t>0124</t>
  </si>
  <si>
    <t>АИСТ'ИЯ-2025, Лауреат</t>
  </si>
  <si>
    <t>683169.03.01</t>
  </si>
  <si>
    <t>"Сверх" как инструмент воздействия и поддержки:.. Моногр. / В.К.Харченко-М.:НИЦ ИНФРА-М,2021-156с(О)</t>
  </si>
  <si>
    <t>"СВЕРХ" КАК ИНСТРУМЕНТ ВОЗДЕЙСТВИЯ И ПОДДЕРЖКИ: СВЕРХМНОГОДЕТНОСТЬ, СВЕРХДОЛГОЛЕТИЕ, РАБОТОСПОСОБНОСТЬ</t>
  </si>
  <si>
    <t>Харченко В.К.</t>
  </si>
  <si>
    <t>978-5-16-014099-5</t>
  </si>
  <si>
    <t>45.04.03</t>
  </si>
  <si>
    <t>Белгородский государственный национальный исследовательский университет</t>
  </si>
  <si>
    <t>0119</t>
  </si>
  <si>
    <t>684798.07.01</t>
  </si>
  <si>
    <t>"Тайный ключ русской литературы"...: Моногр. / С.О.Курьянов - М.:НИЦ ИНФРА-М,2026. - 311 с.(П)</t>
  </si>
  <si>
    <t>"ТАЙНЫЙ КЛЮЧ РУССКОЙ ЛИТЕРАТУРЫ": ФОРМИРОВАНИЕ И СТАНОВЛЕНИЕ КРЫМСКОГО ТЕКСТА В РУССКОЙ ЛИТЕРАТУРЕ X-XIX ВЕКОВ</t>
  </si>
  <si>
    <t>Курьянов С.О.</t>
  </si>
  <si>
    <t>Переплет 7БЦ/Без шитья</t>
  </si>
  <si>
    <t>Научная мысль - 100 лет КрымФУ</t>
  </si>
  <si>
    <t>978-5-16-014774-1</t>
  </si>
  <si>
    <t>42.03.04, 44.03.05, 45.03.01, 45.03.02, 45.04.01, 45.04.02</t>
  </si>
  <si>
    <t>Крымский федеральный университет им. В.И. Вернадского, структурное подразделение Таврическая академия</t>
  </si>
  <si>
    <t>151950.10.01</t>
  </si>
  <si>
    <t>"Феноменология духа" и проблема структуры..: Моногр. /В.И.Коротких - М: НИЦ ИНФРА-М, 2025 - 382 с. (П)</t>
  </si>
  <si>
    <t>"ФЕНОМЕНОЛОГИЯ ДУХА" И ПРОБЛЕМА СТРУКТУРЫ СИСТЕМЫ ФИЛОСОФИИ В ТВОРЧЕСТВЕ ГЕГЕЛЯ</t>
  </si>
  <si>
    <t>Коротких В.И.</t>
  </si>
  <si>
    <t>978-5-16-009753-4</t>
  </si>
  <si>
    <t>Философия</t>
  </si>
  <si>
    <t>40.03.01, 44.03.01, 44.03.05, 47.03.01, 47.04.01</t>
  </si>
  <si>
    <t>Елецкий государственный университет им. И.А. Бунина</t>
  </si>
  <si>
    <t>0111</t>
  </si>
  <si>
    <t>763312.05.01</t>
  </si>
  <si>
    <t>"Чайка” А. П. Чехова. Поэтика. Проблематика...: Моногр. / А.Г.Головачёва - М.:НИЦ ИНФРА-М,2026 - 235 с.(О)</t>
  </si>
  <si>
    <t>"ЧАЙКА” А. П. ЧЕХОВА. ПОЭТИКА. ПРОБЛЕМАТИКА. ЛИТЕРАТУРНО-ТЕАТРАЛЬНЫЙ КОНТЕКСТ</t>
  </si>
  <si>
    <t>Головачёва А.Г.</t>
  </si>
  <si>
    <t>978-5-16-017152-4</t>
  </si>
  <si>
    <t>44.03.05, 45.07.01, 52.03.04, 52.03.05</t>
  </si>
  <si>
    <t>Театральный Музей им. А.А. Бахрушина, Бахрушинский Музей</t>
  </si>
  <si>
    <t>0122</t>
  </si>
  <si>
    <t>776902.04.01</t>
  </si>
  <si>
    <t>"Человек самоорганизующийся". Психология взаимодейств..: Моногр. / В.В.Гребнева - М.:НИЦ ИНФРА-М,2025 - 342 с.(о)</t>
  </si>
  <si>
    <t>"ЧЕЛОВЕК САМООРГАНИЗУЮЩИЙСЯ". ПСИХОЛОГИЯ ВЗАИМОДЕЙСТВИЯ В СФЕРЕ ВЫСШЕГО ОБРАЗОВАНИЯ</t>
  </si>
  <si>
    <t>Гребнева В.В.</t>
  </si>
  <si>
    <t>978-5-16-017671-0</t>
  </si>
  <si>
    <t>Психология</t>
  </si>
  <si>
    <t>37.04.01, 37.05.02, 37.06.01</t>
  </si>
  <si>
    <t>0123</t>
  </si>
  <si>
    <t>761523.01.01</t>
  </si>
  <si>
    <t>«Замкнутые вселенные» сопротивления...: Моногр. / А.В.Скиперских - М.:НИЦ ИНФРА-М,2022 - 237 с.(П)</t>
  </si>
  <si>
    <t>«ЗАМКНУТЫЕ ВСЕЛЕННЫЕ» СОПРОТИВЛЕНИЯ: РАЗЫСКАНИЯ В ПРОСТРАНСТВЕ РУССКОЙ КУЛЬТУРЫ</t>
  </si>
  <si>
    <t>Скиперских А.В.</t>
  </si>
  <si>
    <t>Переплет 7БЦ</t>
  </si>
  <si>
    <t>978-5-16-017184-5</t>
  </si>
  <si>
    <t>44.04.01, 44.04.04, 44.06.01, 51.04.01, 51.06.01</t>
  </si>
  <si>
    <t>828589.04.01</t>
  </si>
  <si>
    <t>«Кино эпохи модерна» (Акционер. кинематогр...): Моногр. / А.А.Бессолицын - М.:НИЦ ИНФРА-М,2026 - 195 с.(п)</t>
  </si>
  <si>
    <t>«КИНО ЭПОХИ МОДЕРНА» (АКЦИОНЕРНЫЕ КИНЕМАТОГРАФИЧЕСКИЕ КОМПАНИИ В РОССИИ В НАЧАЛЕ ХХ ВЕКА)</t>
  </si>
  <si>
    <t>Бессолицын А.А.</t>
  </si>
  <si>
    <t>978-5-16-019929-0</t>
  </si>
  <si>
    <t>Искусство</t>
  </si>
  <si>
    <t>50.03.03</t>
  </si>
  <si>
    <t>Институт российской истории Российской академии наук</t>
  </si>
  <si>
    <t>683429.08.01</t>
  </si>
  <si>
    <t>«Православный тихий Дон» в творчестве..: Моногр. / Л.Г.Сатарова - М.:НИЦ ИНФРА-М,2024 - 270 с.(о)</t>
  </si>
  <si>
    <t>«ПРАВОСЛАВНЫЙ ТИХИЙ ДОН» В ТВОРЧЕСТВЕ М.А. ШОЛОХОВА И ЕГО ПРЕДШЕСТВЕННИКОВ</t>
  </si>
  <si>
    <t>Сатарова Л.Г.</t>
  </si>
  <si>
    <t>978-5-16-017481-5</t>
  </si>
  <si>
    <t>44.03.01, 45.03.01, 45.03.02, 45.03.99</t>
  </si>
  <si>
    <t>Липецкий государственный педагогический университет им. П.П. Семенова-Тян-Шанского</t>
  </si>
  <si>
    <t>450804.0026.01</t>
  </si>
  <si>
    <t>Advances in Law Studies, 2017, № 4</t>
  </si>
  <si>
    <t>ADVANCES IN LAW STUDIES, 2017, № 4</t>
  </si>
  <si>
    <t>Стародубцев Г.С. под ред.</t>
  </si>
  <si>
    <t>ИЦ РИОР</t>
  </si>
  <si>
    <t>ОБЩЕСТВЕННЫЕ НАУКИ.  ЭКОНОМИКА. ПРАВО</t>
  </si>
  <si>
    <t>Право. Юридические науки</t>
  </si>
  <si>
    <t>Журнал</t>
  </si>
  <si>
    <t>725294.01.01</t>
  </si>
  <si>
    <t>Ens realissimum: Жизнь и философия И,В, Гёте: Моногр. / П.А.Горохов-М.:НИЦ ИНФРА-М,2021.-401 с..-(Науч.мысль)(П)</t>
  </si>
  <si>
    <t>ENS REALISSIMUM: ЖИЗНЬ И ФИЛОСОФИЯ ИОГАННА ВОЛЬФГАНГА ГЁТЕ</t>
  </si>
  <si>
    <t>Горохов П.А.</t>
  </si>
  <si>
    <t>978-5-16-015882-2</t>
  </si>
  <si>
    <t>47.03.01, 47.04.01, 47.06.01</t>
  </si>
  <si>
    <t>Российская академия народного хозяйства и государственной службы при Президенте РФ, Оренбургский ф-л</t>
  </si>
  <si>
    <t>0121</t>
  </si>
  <si>
    <t>АКАДЕМУС-2019, Победитель</t>
  </si>
  <si>
    <t>670262.04.01</t>
  </si>
  <si>
    <t>Homo nudes: Монография / Е.Ф.Казаков - М.:НИЦ ИНФРА-М,2022 - 242 с.-(Науч.мысль)(П)</t>
  </si>
  <si>
    <t>HOMO NUDES</t>
  </si>
  <si>
    <t>Казаков Е.Ф.</t>
  </si>
  <si>
    <t>978-5-16-013615-8</t>
  </si>
  <si>
    <t>40.04.01, 44.04.01, 47.04.01</t>
  </si>
  <si>
    <t>Кемеровский государственный университет</t>
  </si>
  <si>
    <t>0118</t>
  </si>
  <si>
    <t>684155.03.01</t>
  </si>
  <si>
    <t>Per aspera ad astra. Взаимоот.педагогов и уч. в отечест: Моногр. / О.А.Грива - М.:НИЦ ИНФРА-М,2022 - 143 с.(О)</t>
  </si>
  <si>
    <t>PER ASPERA AD ASTRA. ВЗАИМООТНОШЕНИЯ ПЕДАГОГОВ И УЧАЩИХСЯ В ОТЕЧЕСТВЕННОЙ ГИМНАЗИИ ВО ВТОРОЙ ПОЛОВИНЕ XIX - НАЧАЛЕ XX ВЕКА</t>
  </si>
  <si>
    <t>Грива О.А.</t>
  </si>
  <si>
    <t>978-5-16-014206-7</t>
  </si>
  <si>
    <t>ЛИТЕРАТУРА ДЛЯ СРЕДНЕЙ ШКОЛЫ И АБИТУРИЕНТОВ. ПЕДАГОГИКА</t>
  </si>
  <si>
    <t>Педагогика. Образование</t>
  </si>
  <si>
    <t>44.03.01, 44.03.05, 44.04.01</t>
  </si>
  <si>
    <t>Крымский федеральный университет им. В.И. Вернадского</t>
  </si>
  <si>
    <t>110450.09.01</t>
  </si>
  <si>
    <t>Pocket English Grammar (Карман.грамматика англ. яз.): Справ.пос. / И.Е. Торбан - ИНФРА-М, 2025 - 97 с.(о)</t>
  </si>
  <si>
    <t>POCKET ENGLISH GRAMMAR (КАРМАННАЯ ГРАММАТИКА АНГЛИЙСКОГО ЯЗЫКА)</t>
  </si>
  <si>
    <t>Торбан И. Е.</t>
  </si>
  <si>
    <t>Справочники ИНФРА-М</t>
  </si>
  <si>
    <t>978-5-16-018838-6</t>
  </si>
  <si>
    <t>Справочное пособие</t>
  </si>
  <si>
    <t>00.03.02, 00.05.02, 44.02.01</t>
  </si>
  <si>
    <t>-</t>
  </si>
  <si>
    <t>0109</t>
  </si>
  <si>
    <t>450454.0026.01</t>
  </si>
  <si>
    <t>Russian journal of management, 2017, № 4</t>
  </si>
  <si>
    <t>RUSSIAN JOURNAL OF MANAGEMENT, 2017, № 4</t>
  </si>
  <si>
    <t>Резник С.Д.</t>
  </si>
  <si>
    <t>Управление (менеджмент)</t>
  </si>
  <si>
    <t>756460.03.01</t>
  </si>
  <si>
    <t>Thematic commentary to the Law of the Russian Federation: коммент. / T.Y.Khabrieva - М.:Юр.Норма,2022 - 216 с.(П)</t>
  </si>
  <si>
    <t>THEMATIC COMMENTARY TO THE LAW OF THE RUSSIAN FEDERATION AMENDING THE CONSTITUTION OF THE RUSSIAN FEDERATION OF MARCH 14, 2020 NO. 1-FKZ «ON IMPROVING</t>
  </si>
  <si>
    <t>Khabrieva T.Y.</t>
  </si>
  <si>
    <t>Юр. НОРМА</t>
  </si>
  <si>
    <t>978-5-00156-167-5</t>
  </si>
  <si>
    <t>Комментарий</t>
  </si>
  <si>
    <t>40.04.01, 40.06.01</t>
  </si>
  <si>
    <t>265400.11.01</t>
  </si>
  <si>
    <t>Абразивная обработка: Справ. / Л.И.Вереина - М.:НИЦ ИНФРА-М,2025 - 304 с.(Справ."ИНФРА-М")(П)</t>
  </si>
  <si>
    <t>АБРАЗИВНАЯ ОБРАБОТКА</t>
  </si>
  <si>
    <t>Вереина Л.И., Краснов М.М., Фрадкин Е.И.</t>
  </si>
  <si>
    <t>Справочники "ИНФРА-М"</t>
  </si>
  <si>
    <t>978-5-16-010397-6</t>
  </si>
  <si>
    <t>ПРИКЛАДНЫЕ НАУКИ. ТЕХНИКА. МЕДИЦИНА</t>
  </si>
  <si>
    <t>Энергетика. Промышленность</t>
  </si>
  <si>
    <t>Справочник</t>
  </si>
  <si>
    <t>Профессиональное образование</t>
  </si>
  <si>
    <t>12.02.04, 15.02.01, 15.02.16, 15.02.17, 15.02.18, 15.03.01, 15.03.02, 15.03.03, 15.03.04, 15.03.05, 15.03.06</t>
  </si>
  <si>
    <t>Московский государственный технический университет им. Н.Э. Баумана Национальный исследовательский университет</t>
  </si>
  <si>
    <t>0114</t>
  </si>
  <si>
    <t>154900.15.01</t>
  </si>
  <si>
    <t>Автомобильный справочник-энц.: Справ. пос. / Н.А. Кузьмин - М.:Форум, 2026 - 288 с.(П)</t>
  </si>
  <si>
    <t>АВТОМОБИЛЬНЫЙ СПРАВОЧНИК-ЭНЦИКЛОПЕДИЯ, ИЗД.2</t>
  </si>
  <si>
    <t>Кузьмин Н. А., Песков В. И.</t>
  </si>
  <si>
    <t>Форум</t>
  </si>
  <si>
    <t>978-5-91134-535-8</t>
  </si>
  <si>
    <t>Транспорт</t>
  </si>
  <si>
    <t>23.04.01, 23.04.02, 23.04.03, 23.05.01, 23.06.01</t>
  </si>
  <si>
    <t>Нижегородский государственный технический университет им. Р.А. Алексеева</t>
  </si>
  <si>
    <t>0215</t>
  </si>
  <si>
    <t>657371.15.01</t>
  </si>
  <si>
    <t>Административное право и админ. ответств... / Б.В.Россинский - 3 изд. - М.:Юр.Норма, НИЦ ИНФРА-М,2025 - 376 с.(П)</t>
  </si>
  <si>
    <t>АДМИНИСТРАТИВНОЕ ПРАВО И АДМИНИСТРАТИВНАЯ ОТВЕТСТВЕННОСТЬ, ИЗД.3</t>
  </si>
  <si>
    <t>Россинский Б.В.</t>
  </si>
  <si>
    <t>978-5-00156-397-6</t>
  </si>
  <si>
    <t>Курс лекций</t>
  </si>
  <si>
    <t>Профессиональное образование / ВО - Бакалавриат</t>
  </si>
  <si>
    <t>38.03.04, 40.03.01, 40.04.01, 40.05.01, 40.05.02, 40.05.03, 40.05.04, 44.03.05, 46.03.02</t>
  </si>
  <si>
    <t>Московский государственный юридический университет им. О.Е. Кутафина</t>
  </si>
  <si>
    <t>0325</t>
  </si>
  <si>
    <t>657371.13.01</t>
  </si>
  <si>
    <t>Административное право и админ. ответств... / Б.В.Россинский-2 изд.-М.:Юр.Норма, НИЦ ИНФРА-М,2024-352 с.(П)</t>
  </si>
  <si>
    <t>АДМИНИСТРАТИВНОЕ ПРАВО И АДМИНИСТРАТИВНАЯ ОТВЕТСТВЕННОСТЬ, ИЗД.2</t>
  </si>
  <si>
    <t>978-5-00156-188-0</t>
  </si>
  <si>
    <t>0222</t>
  </si>
  <si>
    <t>657371.07.01</t>
  </si>
  <si>
    <t>Административное право и админ.ответ.: Курс лекций /Б.В.Россинский-М.:Юр.Норма,НИЦ ИНФРА-М,2021-352с(П)</t>
  </si>
  <si>
    <t>АДМИНИСТРАТИВНОЕ ПРАВО И АДМИНИСТРАТИВНАЯ ОТВЕТСТВЕННОСТЬ</t>
  </si>
  <si>
    <t>978-5-91768-842-8</t>
  </si>
  <si>
    <t>0117</t>
  </si>
  <si>
    <t>641499.09.01</t>
  </si>
  <si>
    <t>Аксиологические основы воспитания нрав..: Моногр. / С.В.Яковлев - 2 изд. - М.:НИЦ ИНФРА-М,2025 - 170 с.(о)</t>
  </si>
  <si>
    <t>АКСИОЛОГИЧЕСКИЕ ОСНОВЫ ВОСПИТАНИЯ НРАВСТВЕННОЙ КУЛЬТУРЫ ЛИЧНОСТИ В СИСТЕМЕ ОБЩЕГО ОБРАЗОВАНИЯ, ИЗД.2</t>
  </si>
  <si>
    <t>Яковлев С.В.</t>
  </si>
  <si>
    <t>978-5-16-019991-7</t>
  </si>
  <si>
    <t>44.03.01, 44.03.04, 44.03.05</t>
  </si>
  <si>
    <t>Московский педагогический государственный университет</t>
  </si>
  <si>
    <t>Май, 2025</t>
  </si>
  <si>
    <t>0225</t>
  </si>
  <si>
    <t>641499.08.01</t>
  </si>
  <si>
    <t>Аксиологические основы воспитания нрав..: Моногр. / С.В.Яковлев - М.:НИЦ ИНФРА-М,2024 - 137 с(Науч.мысль)</t>
  </si>
  <si>
    <t>АКСИОЛОГИЧЕСКИЕ ОСНОВЫ ВОСПИТАНИЯ НРАВСТВЕННОЙ КУЛЬТУРЫ ЛИЧНОСТИ В СИСТЕМЕ ОБЩЕГО ОБРАЗОВАНИЯ</t>
  </si>
  <si>
    <t>978-5-16-012340-0</t>
  </si>
  <si>
    <t>0116</t>
  </si>
  <si>
    <t>818391.01.01</t>
  </si>
  <si>
    <t>Актуальные воп. и перспективы образоват. процесса.../ И.Н.Айнутдинова-М.:НИЦ ИНФРА-М,2024.-176 с.(п)</t>
  </si>
  <si>
    <t>АКТУАЛЬНЫЕ ВОПРОСЫ И ПЕРСПЕКТИВЫ ОБРАЗОВАТЕЛЬНОГО ПРОЦЕССА В ВЫСШЕЙ ШКОЛЕ</t>
  </si>
  <si>
    <t>Айнутдинова И.Н., Айнутдинова К.А., Гали Г.Ф. и др.</t>
  </si>
  <si>
    <t>978-5-16-019787-6</t>
  </si>
  <si>
    <t>44.04.01, 44.06.01</t>
  </si>
  <si>
    <t>Казанский (Приволжский) федеральный университет</t>
  </si>
  <si>
    <t>649112.07.01</t>
  </si>
  <si>
    <t>Актуальные каналы соц. личности...: Моногр. / Под ред. Сергеева В.П. - 2 изд. - М.:НИЦ ИНФРА-М,2026 - 131 с.(О)</t>
  </si>
  <si>
    <t>АКТУАЛЬНЫЕ КАНАЛЫ СОЦИАЛИЗАЦИИ ЛИЧНОСТИ: ОТ ТЕОРИИ К ТЕХНОЛОГИЯМ, ИЗД.2</t>
  </si>
  <si>
    <t>Сергеева В.П., Подымова Л.С., Алисов Е.А. и др.</t>
  </si>
  <si>
    <t>978-5-16-014154-1</t>
  </si>
  <si>
    <t>44.03.01, 44.03.02, 44.03.03, 44.03.05, 44.04.01, 44.04.02</t>
  </si>
  <si>
    <t>Московский городской педагогический университет</t>
  </si>
  <si>
    <t>0217</t>
  </si>
  <si>
    <t>818118.03.01</t>
  </si>
  <si>
    <t>Актуальные пробл. оператив.-розыск. деят. в XXI в. в РФ: Сб. / С.С.Галахов - М.:Юр. НОРМА,2026. - 304 с.(п)</t>
  </si>
  <si>
    <t>АКТУАЛЬНЫЕ ПРОБЛЕМЫ ОПЕРАТИВНО-РОЗЫСКНОЙ ДЕЯТЕЛЬНОСТИ В XXI В. В РОССИЙСКОЙ ФЕДЕРАЦИИ</t>
  </si>
  <si>
    <t>Галахов С.С.</t>
  </si>
  <si>
    <t>978-5-00156-345-7</t>
  </si>
  <si>
    <t>Сборник научных трудов</t>
  </si>
  <si>
    <t>40.03.01, 40.05.01, 40.05.02</t>
  </si>
  <si>
    <t>314000.08.01</t>
  </si>
  <si>
    <t>Актуальные проблемы защиты неимущ. прав детей..: Сб. / А.Е.Тарасова и др. - М.:НИЦ ИНФРА-М,2023 - 232 с(О)</t>
  </si>
  <si>
    <t>АКТУАЛЬНЫЕ ПРОБЛЕМЫ ЗАЩИТЫ НЕИМУЩЕСТВЕННЫХ ПРАВ ДЕТЕЙ (МАТЕРИАЛЬНЫЕ И ПРОЦЕССУАЛЬНЫЕ АСПЕКТЫ)</t>
  </si>
  <si>
    <t>Тарасова А.Е., Зубарева О.Г., Шершень Т.В. и др.</t>
  </si>
  <si>
    <t>978-5-16-011843-7</t>
  </si>
  <si>
    <t>40.04.01</t>
  </si>
  <si>
    <t>Южный федеральный университет</t>
  </si>
  <si>
    <t>427750.07.01</t>
  </si>
  <si>
    <t>Актуальные проблемы теории и фил. права: Курс лекций / Ю.В.Сорокина -М.:Норма:НИЦ ИНФРА-М,2024-304с. (о)</t>
  </si>
  <si>
    <t>АКТУАЛЬНЫЕ ПРОБЛЕМЫ ТЕОРИИ И ФИЛОСОФИИ ПРАВА</t>
  </si>
  <si>
    <t>Сорокина Ю. В.</t>
  </si>
  <si>
    <t>978-5-91768-367-6</t>
  </si>
  <si>
    <t>38.04.09, 40.03.01, 40.04.01</t>
  </si>
  <si>
    <t>Воронежский государственный университет</t>
  </si>
  <si>
    <t>0113</t>
  </si>
  <si>
    <t>358100.12.01</t>
  </si>
  <si>
    <t>Актуальные термины полит. лингвистики: Справ. / М.А.Семкин - М.:Форум,НИЦ ИНФРА-М,2023-112 с.(О)</t>
  </si>
  <si>
    <t>АКТУАЛЬНЫЕ ТЕРМИНЫ ПОЛИТИЧЕСКОЙ ЛИНГВИСТИКИ: СЛОВАРЬ СОВРЕМЕННЫХ МЕДИА</t>
  </si>
  <si>
    <t>Семкин М.А.</t>
  </si>
  <si>
    <t>978-5-00091-630-8</t>
  </si>
  <si>
    <t>Политика. Социология</t>
  </si>
  <si>
    <t>Словарь</t>
  </si>
  <si>
    <t>41.03.04, 41.04.04, 42.03.01, 42.03.02, 42.03.03, 42.03.04, 42.03.05, 42.04.01, 42.04.02, 42.04.03, 42.04.04, 42.04.05, 45.03.01, 45.04.01</t>
  </si>
  <si>
    <t>0115</t>
  </si>
  <si>
    <t>668774.03.01</t>
  </si>
  <si>
    <t>Алтайская лит. Портреты писателей...: Моногр. / Н.М.Киндикова - М.:НИЦ ИНФРА-М,2022-82с(Науч.мысль)(О)</t>
  </si>
  <si>
    <t>АЛТАЙСКАЯ ЛИТЕРАТУРА. ПОРТРЕТЫ ПИСАТЕЛЕЙ И ЛИТЕРАТУРОВЕДОВ.</t>
  </si>
  <si>
    <t>Киндикова Н.М.</t>
  </si>
  <si>
    <t>978-5-16-013387-4</t>
  </si>
  <si>
    <t>41.03.06, 42.03.02, 42.03.03, 42.03.04, 45.03.01</t>
  </si>
  <si>
    <t>Горно-Алтайский государственный университет</t>
  </si>
  <si>
    <t>759045.01.01</t>
  </si>
  <si>
    <t>Алтарные преграды храмов Центр. Рос...: Моногр. / Т.В.Лазарева-М.:НИЦ ИНФРА-М,2023.-244 с.(П)</t>
  </si>
  <si>
    <t>АЛТАРНЫЕ ПРЕГРАДЫ ХРАМОВ ЦЕНТРАЛЬНОЙ РОССИИ НОВОГО ВРЕМЕНИ (НА ПРИМЕРЕ ПРИОКСКОГО РЕГИОНА)</t>
  </si>
  <si>
    <t>Лазарева Т.В.</t>
  </si>
  <si>
    <t>978-5-16-018008-3</t>
  </si>
  <si>
    <t>07.04.01, 07.04.02, 07.06.01, 07.09.02</t>
  </si>
  <si>
    <t>Орловский государственный институт культуры</t>
  </si>
  <si>
    <t>758089.01.01</t>
  </si>
  <si>
    <t>Альтернативы: Моногр. / С.В.Борзых - М.:НИЦ ИНФРА-М,2021 - 370 с.(Науч.мысль)(О)</t>
  </si>
  <si>
    <t>АЛЬТЕРНАТИВЫ</t>
  </si>
  <si>
    <t>Борзых С.В.</t>
  </si>
  <si>
    <t>978-5-16-017003-9</t>
  </si>
  <si>
    <t>Томский государственный архитектурно-строительный университет</t>
  </si>
  <si>
    <t>632070.06.01</t>
  </si>
  <si>
    <t>Америка Синклера Льюиса: Моногр. / Б.А.Гиленсон, - 2 изд. - М.:НИЦ ИНФРА-М,2025. - 188 с.(Науч.мысль)(о)</t>
  </si>
  <si>
    <t>АМЕРИКА СИНКЛЕРА ЛЬЮИСА, ИЗД.2</t>
  </si>
  <si>
    <t>Гиленсон Б.А.</t>
  </si>
  <si>
    <t>978-5-16-020469-7</t>
  </si>
  <si>
    <t>41.03.06, 42.03.02, 42.03.03, 42.03.04, 45.03.01, 45.04.01</t>
  </si>
  <si>
    <t>0216</t>
  </si>
  <si>
    <t>343000.04.01</t>
  </si>
  <si>
    <t>Анализ международного опыта развития футбола...: Моногр. / А.И.Воробьев-М.:НИЦ ИНФРА-М,2023-140с.(П)</t>
  </si>
  <si>
    <t>АНАЛИЗ МЕЖДУНАРОДНОГО ОПЫТА РАЗВИТИЯ ФУТБОЛА И ЕГО ПРИМЕНЕНИЕ В РОССИИ С УЧЕТОМ ПОДГОТОВКИ К ЧЕМПИОНАТУ МИРА ПО ФУТБОЛУ ФИФА 2018</t>
  </si>
  <si>
    <t>Воробьев А.И., Солнцев И.В., Осокин Н.А.</t>
  </si>
  <si>
    <t>978-5-16-011861-1</t>
  </si>
  <si>
    <t>ДОМ, БЫТ, ДОСУГ</t>
  </si>
  <si>
    <t>Спорт. Самооборона</t>
  </si>
  <si>
    <t>49.03.01</t>
  </si>
  <si>
    <t>Российский экономический университет им. Г.В. Плеханова</t>
  </si>
  <si>
    <t>275900.05.01</t>
  </si>
  <si>
    <t>Аналитика человеческого бытия: введение в опыт...:Моногр. /С.Е.Ячин -НИЦ ИНФРА-М, 2019-210с.(О)</t>
  </si>
  <si>
    <t>АНАЛИТИКА ЧЕЛОВЕЧЕСКОГО БЫТИЯ: ВВЕДЕНИЕ В ОПЫТ САМОПОЗНАНИЯ. СИСТЕМАТИЧЕСКИЙ ОЧЕРК</t>
  </si>
  <si>
    <t>Ячин С.Е.</t>
  </si>
  <si>
    <t>978-5-16-009719-0</t>
  </si>
  <si>
    <t>Дальневосточный федеральный университет</t>
  </si>
  <si>
    <t>656383.05.01</t>
  </si>
  <si>
    <t>Английская номинативность и картина мира: Моногр. / А.А.Джиоева-М:НИЦ ИНФРА-М,2024-176с(Науч.мысль)</t>
  </si>
  <si>
    <t>АНГЛИЙСКАЯ НОМИНАТИВНОСТЬ И КАРТИНА МИРА</t>
  </si>
  <si>
    <t>Джиоева А.А.</t>
  </si>
  <si>
    <t>978-5-16-017031-2</t>
  </si>
  <si>
    <t>40.03.01, 44.03.01, 44.03.05, 45.03.01, 45.03.02, 45.03.03, 45.03.04</t>
  </si>
  <si>
    <t>Московский государственный университет им. М.В. Ломоносова, факультет политологии</t>
  </si>
  <si>
    <t>260400.14.01</t>
  </si>
  <si>
    <t>Английские заимствования в рус. и нем. языках в усл...: Моногр. / Ж.Багана - М.:НИЦ ИНФРА-М,2026 - 120 с.(О)</t>
  </si>
  <si>
    <t>АНГЛИЙСКИЕ ЗАИМСТВОВАНИЯ В РУССКОМ И НЕМЕЦКОМ ЯЗЫКАХ В УСЛОВИЯХ ГЛОБАЛИЗАЦИИ</t>
  </si>
  <si>
    <t>Багана Ж., Тарасова М. В.</t>
  </si>
  <si>
    <t>978-5-16-009504-2</t>
  </si>
  <si>
    <t>45.03.01, 45.03.02, 45.04.01, 45.04.02, 51.03.01, 51.04.01</t>
  </si>
  <si>
    <t>Белгородский государственный институт искусств и культуры</t>
  </si>
  <si>
    <t>241900.05.01</t>
  </si>
  <si>
    <t>Английские заимствования в террит. вариантах фр.яз.: Моногр. /Ж.Багана -НИЦ ИНФРА-М,2024-106(Науч.мысль)</t>
  </si>
  <si>
    <t>АНГЛИЙСКИЕ ЗАИМСТВОВАНИЯ В ТЕРРИТОРИАЛЬНЫХ ВАРИАНТАХ ФРАНЦУЗСКОГО ЯЗЫКА АФРИКИ</t>
  </si>
  <si>
    <t>Багана Ж., Хапилина Е.В., Блажевич Ю.С.</t>
  </si>
  <si>
    <t>978-5-16-009255-3</t>
  </si>
  <si>
    <t>45.03.01, 45.04.01</t>
  </si>
  <si>
    <t>795384.01.01</t>
  </si>
  <si>
    <t>Английские собств. имена: Т.1: Сл. / С.И.Гарагуля - М.:НИЦ ИНФРА-М,2026. - 1180 с.(п)</t>
  </si>
  <si>
    <t>АНГЛИЙСКИЕ СОБСТВЕННЫЕ ИМЕНА: БОЛЬШОЙ ЛИНГВОКУЛЬТУРОЛОГИЧЕСКИЙ СЛОВАРЬ, Т.1</t>
  </si>
  <si>
    <t>Гарагуля С.И.</t>
  </si>
  <si>
    <t>Библиотека словарей ИНФРА-М</t>
  </si>
  <si>
    <t>978-5-16-021043-8</t>
  </si>
  <si>
    <t>42.04.02, 44.04.01, 45.04.01, 45.04.02, 45.05.01, 51.03.01, 51.04.01</t>
  </si>
  <si>
    <t>Белгородский государственный технологический университет им. В.Г. Шухова</t>
  </si>
  <si>
    <t>Август, 2025</t>
  </si>
  <si>
    <t>0126</t>
  </si>
  <si>
    <t>859702.01.01</t>
  </si>
  <si>
    <t>Английские собственные имена...: Сл.: Т.2 / С.И.Гарагуля - М.:НИЦ ИНФРА-М,2026. - 875 с.(п)</t>
  </si>
  <si>
    <t>АНГЛИЙСКИЕ СОБСТВЕННЫЕ ИМЕНА: БОЛЬШОЙ ЛИНГВОКУЛЬТУРОЛОГИЧЕСКИЙ СЛОВАРЬ, Т.2</t>
  </si>
  <si>
    <t>978-5-16-021044-5</t>
  </si>
  <si>
    <t>Сентябрь, 2025</t>
  </si>
  <si>
    <t>826213.01.01</t>
  </si>
  <si>
    <t>Англо-рус. сл. по химии и химич. технологии: Сл. / С.О.Даминова - М.:НИЦ ИНФРА-М,2025. - 336 с.(п)</t>
  </si>
  <si>
    <t>АНГЛО-РУССКИЙ СЛОВАРЬ ПО ХИМИИ И ХИМИЧЕСКОЙ ТЕХНОЛОГИИ</t>
  </si>
  <si>
    <t>Даминова С.О.</t>
  </si>
  <si>
    <t>978-5-16-019862-0</t>
  </si>
  <si>
    <t>04.03.01, 04.03.02, 04.04.01, 04.04.02, 04.05.01, 04.06.01, 04.07.01, 18.03.01, 18.03.02, 18.04.01, 18.04.02, 18.05.01, 18.05.02</t>
  </si>
  <si>
    <t>Допущено Федеральным учебно-методическим объединением в системе высшего образования по укрупненной группе специальностей и направлений подготовки 04.00.00 Химия в качестве учебного пособия для обучающихся по основным образовательным программам высшего образования уровня бакалавриата и магистратуры по направлениям подготовки 04.04.01 и 04.04.02 «Химия, физика и механика материалов»</t>
  </si>
  <si>
    <t>Московский государственный университет им. М.В. Ломоносова</t>
  </si>
  <si>
    <t>Июнь, 2025</t>
  </si>
  <si>
    <t>0125</t>
  </si>
  <si>
    <t>415100.11.01</t>
  </si>
  <si>
    <t>Англо-рус. слов. идиом и устойчив. словосочетаний.. / К.А.Солодушкина - М.:НИЦ ИНФРА-М,2025 - 243 с.(П)</t>
  </si>
  <si>
    <t>АНГЛО-РУССКИЙ СЛОВАРЬ ИДИОМ И УСТОЙЧИВЫХ СЛОВОСОЧЕТАНИЙ В ЯЗЫКЕ СОВРЕМЕННОЙ ПРЕССЫ (ПО СОЦИАЛЬНО-ЭКОНОМИЧЕСКИМ И МЕЖДУНАРОДНЫМ ПРОБЛЕМАМ)</t>
  </si>
  <si>
    <t>Солодушкина К.А.</t>
  </si>
  <si>
    <t>Библиотека словарей "ИНФРА-М"</t>
  </si>
  <si>
    <t>978-5-16-005173-4</t>
  </si>
  <si>
    <t>38.04.01, 41.03.05, 41.04.05, 45.03.01, 45.03.02, 45.03.03</t>
  </si>
  <si>
    <t>Санкт-Петербургский государственный технологический институт (технический университет)</t>
  </si>
  <si>
    <t>640145.06.01</t>
  </si>
  <si>
    <t>Англо-русский толковый словарь хоккейных терминов / С.Е.Гинзбург - М.:НИЦ ИНФРА-М,2023 - 238 с.(П)</t>
  </si>
  <si>
    <t>АНГЛО-РУССКИЙ ТОЛКОВЫЙ СЛОВАРЬ ХОККЕЙНЫХ ТЕРМИНОВ</t>
  </si>
  <si>
    <t>Гинзбург С.Е.</t>
  </si>
  <si>
    <t>978-5-16-012449-0</t>
  </si>
  <si>
    <t>45.03.02, 45.04.02, 45.05.01, 49.03.01, 49.04.01</t>
  </si>
  <si>
    <t>Лингва сервис центр</t>
  </si>
  <si>
    <t>259400.09.01</t>
  </si>
  <si>
    <t>Античные монеты и свинцовые тессеры..: Каталог/ Н.А.Фролова - М.:ИЦ РИОР, НИЦ ИНФРА-М,2025-178с.(Науч. мысль)(О)</t>
  </si>
  <si>
    <t>АНТИЧНЫЕ МОНЕТЫ И СВИНЦОВЫЕ ТЕССЕРЫ ХЕРСОНЕСА ТАВРИЧЕСКОГО В СОБРАНИИ ГОСУДАРСТВЕННОГО ИСТОРИЧЕСКОГО МУЗЕЯ</t>
  </si>
  <si>
    <t>Фролова Н. А., Абрамзон М. Г., Кошеленко Г. А.</t>
  </si>
  <si>
    <t>978-5-369-01415-8</t>
  </si>
  <si>
    <t>История. Исторические науки</t>
  </si>
  <si>
    <t>Каталог</t>
  </si>
  <si>
    <t>44.03.01, 44.03.05, 46.03.01, 46.04.01</t>
  </si>
  <si>
    <t>674730.07.01</t>
  </si>
  <si>
    <t>Антропология воспитания в рус. культуре: Моногр. / И.А.Булгакова - М.:НИЦ ИНФРА-М,2025 - 158 с.(Науч.мысль) (О)</t>
  </si>
  <si>
    <t>АНТРОПОЛОГИЯ ВОСПИТАНИЯ В РУССКОЙ КУЛЬТУРЕ</t>
  </si>
  <si>
    <t>Булгакова И.А.</t>
  </si>
  <si>
    <t>978-5-16-015636-1</t>
  </si>
  <si>
    <t>44.03.01, 44.03.02, 44.03.05, 44.04.01, 44.04.02, 44.04.03, 44.04.04</t>
  </si>
  <si>
    <t>Тюменский индустриальный университет</t>
  </si>
  <si>
    <t>0120</t>
  </si>
  <si>
    <t>139400.16.01</t>
  </si>
  <si>
    <t>Архетипические психологич. типы: Моногр. / С.Ю.Поройков - М.:НИЦ ИНФРА-М,2026. - 597 с.(Науч.мысль)(п)</t>
  </si>
  <si>
    <t>АРХЕТИПИЧЕСКИЕ ПСИХОЛОГИЧЕСКИЕ ТИПЫ</t>
  </si>
  <si>
    <t>Поройков С. Ю.</t>
  </si>
  <si>
    <t>978-5-16-011617-4</t>
  </si>
  <si>
    <t>37.03.01, 37.03.02, 37.04.01, 37.04.02, 37.05.01, 37.05.02, 44.03.01, 44.03.02, 44.03.05, 44.04.02</t>
  </si>
  <si>
    <t>682920.08.01</t>
  </si>
  <si>
    <t>Архитектура общественных простр.: Моногр. / А.Л.Гельфонд - М.:НИЦ ИНФРА-М,2025 - 412 с.(Науч.мысль)(П)</t>
  </si>
  <si>
    <t>АРХИТЕКТУРА ОБЩЕСТВЕННЫХ ПРОСТРАНСТВ</t>
  </si>
  <si>
    <t>Гельфонд А.Л.</t>
  </si>
  <si>
    <t>978-5-16-014070-4</t>
  </si>
  <si>
    <t>07.03.01, 07.04.01</t>
  </si>
  <si>
    <t>Нижегородский государственный архитектурно-строительный университет</t>
  </si>
  <si>
    <t>655225.06.01</t>
  </si>
  <si>
    <t>Архитектурно-компаратив. аспект правосл. монаст. Балкан... / С.В.Ильвицкая - 2 изд., - М.:НИЦ ИНФРА-М,2026 - 257 с.(о)</t>
  </si>
  <si>
    <t>АРХИТЕКТУРНО-КОМПАРАТИВНЫЙ АСПЕКТ ПРАВОСЛАВНЫХ МОНАСТЫРЕЙ БАЛКАНСКИХ СТРАН И РОССИИ, ИЗД.2</t>
  </si>
  <si>
    <t>Ильвицкая С.В.</t>
  </si>
  <si>
    <t>978-5-16-015512-8</t>
  </si>
  <si>
    <t>07.04.01, 07.04.02</t>
  </si>
  <si>
    <t>Государственный университет по землеустройству</t>
  </si>
  <si>
    <t>0220</t>
  </si>
  <si>
    <t>655225.02.01</t>
  </si>
  <si>
    <t>Архитектурно-компаративный аспект правосл.монаст.Балканских стран и России:Моногр./ С.В.Ильвицкая-М.:НИЦ ИНФРА-М,2018-99с</t>
  </si>
  <si>
    <t>АРХИТЕКТУРНО-КОМПАРАТИВНЫЙ АСПЕКТ ПРАВОСЛАВНЫХ МОНАСТЫРЕЙ БАЛКАНСКИХ СТРАН И РОССИИ</t>
  </si>
  <si>
    <t>978-5-16-012757-6</t>
  </si>
  <si>
    <t>845526.04.01</t>
  </si>
  <si>
    <t>Астрономия: Науч.-популяр. изд. / С.В.Павлов - М.:НИЦ ИНФРА-М,2026. - 358 с. [16+](п)</t>
  </si>
  <si>
    <t>АСТРОНОМИЯ</t>
  </si>
  <si>
    <t>Павлов С.В.</t>
  </si>
  <si>
    <t>Интересно знать</t>
  </si>
  <si>
    <t>978-5-16-020476-5</t>
  </si>
  <si>
    <t>ЕСТЕСТВЕННЫЕ НАУКИ. МАТЕМАТИКА</t>
  </si>
  <si>
    <t>Физико-математические науки</t>
  </si>
  <si>
    <t>Научно-популярное издание</t>
  </si>
  <si>
    <t>Дополнительное образование</t>
  </si>
  <si>
    <t>00.02.10</t>
  </si>
  <si>
    <t>Московский государственный университет им. М.В. Ломоносова, физический факультет</t>
  </si>
  <si>
    <t>371200.0112.01</t>
  </si>
  <si>
    <t>Аудитор, 2024, № 7</t>
  </si>
  <si>
    <t>АУДИТОР, 2024, № 7</t>
  </si>
  <si>
    <t>Экономика. Бухгалтерский учет. Финансы</t>
  </si>
  <si>
    <t>371200.0126.01</t>
  </si>
  <si>
    <t>Аудитор, 2025, № 9</t>
  </si>
  <si>
    <t>АУДИТОР, 2025, № 9</t>
  </si>
  <si>
    <t>Октябрь, 2025</t>
  </si>
  <si>
    <t>657351.05.01</t>
  </si>
  <si>
    <t>Афроамериканская лит. США: очерки и портреты: Моногр/ / Б.А.Гиленсон-М.:НИЦ ИНФРА-М,2023.-187 с(П)</t>
  </si>
  <si>
    <t>АФРОАМЕРИКАНСКАЯ ЛИТЕРАТУРА США: ОЧЕРКИ И ПОРТРЕТЫ</t>
  </si>
  <si>
    <t>978-5-16-012826-9</t>
  </si>
  <si>
    <t>41.03.06, 42.03.02, 42.03.03, 42.03.04, 44.03.05</t>
  </si>
  <si>
    <t>682688.02.01</t>
  </si>
  <si>
    <t>Банальность бытия: Монография / С.В.Борзых - М.:НИЦ ИНФРА-М,2023 - 155 с.-(Науч.мысль)(О)</t>
  </si>
  <si>
    <t>БАНАЛЬНОСТЬ БЫТИЯ</t>
  </si>
  <si>
    <t>978-5-16-014027-8</t>
  </si>
  <si>
    <t>44.03.01, 44.03.05, 47.04.01</t>
  </si>
  <si>
    <t>433931.0037.01</t>
  </si>
  <si>
    <t>Безопасность в техносфере, 2020, № 3 (84)</t>
  </si>
  <si>
    <t>БЕЗОПАСНОСТЬ В ТЕХНОСФЕРЕ, 2020, № 3 (84)</t>
  </si>
  <si>
    <t>Науки о Земле. Экология</t>
  </si>
  <si>
    <t>00.03.01, 20.03.01, 20.03.02, 20.04.01, 20.04.02, 20.05.01</t>
  </si>
  <si>
    <t>452200.16.01</t>
  </si>
  <si>
    <t>Библиотечный фонд: Сл.-справ. / Под ред. Столярова Ю.Н. - М.:НИЦ ИНФРА-М,2026 - 160 с.(П)</t>
  </si>
  <si>
    <t>БИБЛИОТЕЧНЫЙ ФОНД</t>
  </si>
  <si>
    <t>Ратникова Е.И., Стародубова Н.З., Толчинская Л.М. и др.</t>
  </si>
  <si>
    <t>Библиотека малых словарей "Инфра-М"</t>
  </si>
  <si>
    <t>978-5-16-011455-2</t>
  </si>
  <si>
    <t>Культура. Средства массовой информации</t>
  </si>
  <si>
    <t>Словарь-справочник</t>
  </si>
  <si>
    <t>51.03.06, 51.04.06</t>
  </si>
  <si>
    <t>РГБ ФГБУ</t>
  </si>
  <si>
    <t>188350.08.01</t>
  </si>
  <si>
    <t>Бизнес-диалог/Business dialogue and ...: Reference book / Е.А. Спинова - М.: НИЦ Инфра-М, 2024-72с. (о)</t>
  </si>
  <si>
    <t>БИЗНЕС-ДИАЛОГ / BUSINESS DIALOGUE AND NEGOTIATION PHRASES</t>
  </si>
  <si>
    <t>Спинова Е.А.</t>
  </si>
  <si>
    <t>Магистр</t>
  </si>
  <si>
    <t>978-5-9776-0239-6</t>
  </si>
  <si>
    <t>41.03.05, 41.04.05, 45.03.02, 45.04.02, 45.05.01</t>
  </si>
  <si>
    <t>Всероссийская академия внешней торговли Министерства экономического развития Российской Федерации</t>
  </si>
  <si>
    <t>0112</t>
  </si>
  <si>
    <t>424350.11.01</t>
  </si>
  <si>
    <t>Биология пчел: Энц. сл.-справ. / Е.К.Еськов - М.:НИЦ ИНФРА-М,2026 - VI,388 с.(Б-ка словарей "ИНФРА-М") (п)</t>
  </si>
  <si>
    <t>БИОЛОГИЯ ПЧЕЛ</t>
  </si>
  <si>
    <t>Еськов Е. К.</t>
  </si>
  <si>
    <t>978-5-16-005127-7</t>
  </si>
  <si>
    <t>Биологические науки</t>
  </si>
  <si>
    <t>Энциклопедический словарь</t>
  </si>
  <si>
    <t>06.03.01, 06.04.01, 36.03.02, 36.04.02, 44.03.05</t>
  </si>
  <si>
    <t>Допущено Учебно-методическим объединением высших учебных заведений Российской Федерации в качестве учебно-методического пособия для студентов высших учебных заведений, обучающихся по направлению подготовки 110401 «Зоотехния» и специальности 111801 «В</t>
  </si>
  <si>
    <t>Российский государственный университет народного хозяйства им. В.И.Вернадского</t>
  </si>
  <si>
    <t>786543.04.01</t>
  </si>
  <si>
    <t>Богатство цвета в русском языке: Моногр. / В.К.Харченко-М.:НИЦ ИНФРА-М,2024.-233 с.(Науч.мысль)(о)</t>
  </si>
  <si>
    <t>БОГАТСТВО ЦВЕТА В РУССКОМ ЯЗЫКЕ</t>
  </si>
  <si>
    <t>978-5-16-018691-7</t>
  </si>
  <si>
    <t>45.04.02, 45.06.01</t>
  </si>
  <si>
    <t>АКАДЕМУС-2022, Победитель, II место</t>
  </si>
  <si>
    <t>143000.11.01</t>
  </si>
  <si>
    <t>Большой испанско-рус. сл.: Латинская Америка /А.С.Волкова - 2 изд. - М.: НИЦ ИНФРА-М, 2026 - 726 с.(п)</t>
  </si>
  <si>
    <t>БОЛЬШОЙ ИСПАНСКО-РУССКИЙ СЛОВАРЬ: ЛАТИНСКАЯ АМЕРИКА, ИЗД.2</t>
  </si>
  <si>
    <t>Волкова А. С., Михеева Н. Ф., Синявский А. А., Фирсова Н. М.</t>
  </si>
  <si>
    <t>978-5-16-006097-2</t>
  </si>
  <si>
    <t>45.03.01, 45.03.02, 45.04.02</t>
  </si>
  <si>
    <t>Санкт-Петербургский государственный университет</t>
  </si>
  <si>
    <t>0213</t>
  </si>
  <si>
    <t>399600.04.01</t>
  </si>
  <si>
    <t>Бремя разума: Монография / С.В.Борзых-М.:НИЦ ИНФРА-М,2023.-115 с..-(Науч.мысль)(О)</t>
  </si>
  <si>
    <t>БРЕМЯ РАЗУМА</t>
  </si>
  <si>
    <t>978-5-16-011282-4</t>
  </si>
  <si>
    <t>39.00.00, 51.00.00, 39.04.01, 40.03.01, 44.03.01, 44.03.05, 47.03.01, 47.04.01, 51.04.01</t>
  </si>
  <si>
    <t>740999.07.01</t>
  </si>
  <si>
    <t>Будущее права: наследие академика В.С. Степина... / Т.Я.Хабриева-М.:НИЦ ИНФРА-М,2024.-176 с.(П)</t>
  </si>
  <si>
    <t>БУДУЩЕЕ ПРАВА: НАСЛЕДИЕ АКАДЕМИКА В.С. СТЕПИНА И ЮРИДИЧЕСКАЯ НАУКА</t>
  </si>
  <si>
    <t>Хабриева Т.Я., Черногор Н.Н.</t>
  </si>
  <si>
    <t>978-5-16-016361-1</t>
  </si>
  <si>
    <t>Институт законодательства и сравнительного правоведения при Правительстве Российской Федерации</t>
  </si>
  <si>
    <t>751248.02.01</t>
  </si>
  <si>
    <t>Бухгалтерские проводки в экономике коммер. орг.: Справ. пос. / Е.А.Мизиковский-М.:Магистр, НИЦ ИНФРА-М,2023.-336 с.(П)</t>
  </si>
  <si>
    <t>БУХГАЛТЕРСКИЕ ПРОВОДКИ В ЭКОНОМИКЕ КОММЕРЧЕСКИХ ОРГАНИЗАЦИЙ : СПРАВОЧНИК С КОММЕНТАРИЯМИ И РЕКОМЕНДАЦИЯМИ</t>
  </si>
  <si>
    <t>Мизиковский Е.А., Мизиковский И.Е.</t>
  </si>
  <si>
    <t>978-5-9776-0530-4</t>
  </si>
  <si>
    <t>38.03.01, 38.03.04, 38.03.06, 38.03.10</t>
  </si>
  <si>
    <t>Национальный исследовательский Нижегородский государственный университет им. Н.И. Лобачевского</t>
  </si>
  <si>
    <t>766949.01.01</t>
  </si>
  <si>
    <t>В поиске смыслов...: Монография / Д.А.Чугунов-М.:НИЦ ИНФРА-М,2022.-340 с.(Науч.мысль)(П)</t>
  </si>
  <si>
    <t>В ПОИСКЕ СМЫСЛОВ. НЕМЕЦКОЯЗЫЧНАЯ ПРЕМИАЛЬНАЯ ЛИТЕРАТУРА 2001-2020 ГГ.</t>
  </si>
  <si>
    <t>Чугунов Д.А.</t>
  </si>
  <si>
    <t>978-5-16-017301-6</t>
  </si>
  <si>
    <t>45.04.01, 45.06.01</t>
  </si>
  <si>
    <t>164050.14.01</t>
  </si>
  <si>
    <t>Валеология: словарь терминов и понятий / Э.М.Прохорова - М.:НИЦ ИНФРА-М,2026 - 110 с.(о)</t>
  </si>
  <si>
    <t>ВАЛЕОЛОГИЯ: СЛОВАРЬ ТЕРМИНОВ И ПОНЯТИЙ</t>
  </si>
  <si>
    <t>Прохорова Э. М.</t>
  </si>
  <si>
    <t>978-5-16-013211-2</t>
  </si>
  <si>
    <t>Медицина. Фармакология</t>
  </si>
  <si>
    <t>39.02.01, 39.03.02, 39.04.02</t>
  </si>
  <si>
    <t>Российский государственный университет туризма и сервиса, ф-л Институт туризма и гостеприимства</t>
  </si>
  <si>
    <t>666399.03.01</t>
  </si>
  <si>
    <t>Валюативные модели социального...: Моногр. / Ю.М.Коротченко-М.:Вуз.уч.,НИЦ ИНФРА-М,2020-153с.-(Научная книга)(О)</t>
  </si>
  <si>
    <t>ВАЛЮАТИВНЫЕ МОДЕЛИ СОЦИАЛЬНОГО: ГЕРОИ И ЦЕННОСТИ</t>
  </si>
  <si>
    <t>Коротченко Ю.М.</t>
  </si>
  <si>
    <t>Вузовский учебник</t>
  </si>
  <si>
    <t>Научная книга</t>
  </si>
  <si>
    <t>978-5-9558-0597-9</t>
  </si>
  <si>
    <t>37.03.01, 40.03.01, 41.03.04, 41.04.04, 44.03.01, 44.03.05, 47.03.01</t>
  </si>
  <si>
    <t>168350.12.01</t>
  </si>
  <si>
    <t>Введение в криптографию: Курс лекций / В.А.Романьков, - 2 изд. - М.:Форум, НИЦ ИНФРА-М,2025. - 240 с.(ВО)(П)</t>
  </si>
  <si>
    <t>ВВЕДЕНИЕ В КРИПТОГРАФИЮ, ИЗД.2</t>
  </si>
  <si>
    <t>Романьков В.А.</t>
  </si>
  <si>
    <t>Высшее образование: Бакалавриат</t>
  </si>
  <si>
    <t>978-5-00091-493-9</t>
  </si>
  <si>
    <t>Информатика. Вычислительная техника</t>
  </si>
  <si>
    <t>01.03.02, 02.03.01, 02.03.02, 02.03.03, 09.03.01, 09.03.02, 09.03.03, 09.03.04</t>
  </si>
  <si>
    <t>Рекомендовано студентам высших учебных заведений. Рекомендовано в качестве учебного пособия для студентов высших учебных заведений, обучающихся по направлениям подготовки 01.03.01 «Математика», 02.03.01 «Математика и компьютерные технологии», 01.03.02 «Прикладная математика и информатика» (квалификация (степень) «бакалавр»)</t>
  </si>
  <si>
    <t>Омский государственный университет им. Ф.М. Достоевского</t>
  </si>
  <si>
    <t>0212</t>
  </si>
  <si>
    <t>091250.07.01</t>
  </si>
  <si>
    <t>Введение в философию права: Курс лекций / Ю.В. Сорокина - М.: Норма:ИНФРА-М, 2022 - 336 с. (О)</t>
  </si>
  <si>
    <t>ВВЕДЕНИЕ В ФИЛОСОФИЮ ПРАВА</t>
  </si>
  <si>
    <t>Курс лекций для студентов юридических вузов и факультетов</t>
  </si>
  <si>
    <t>978-5-91768-200-6</t>
  </si>
  <si>
    <t>0108</t>
  </si>
  <si>
    <t>825759.03.01</t>
  </si>
  <si>
    <t>Великие настав. рос. учительства ХVIII- XIX в.: Моногр. / М.В.Богуславский - М.:НИЦ ИНФРА-М,2025 - 213с(п)</t>
  </si>
  <si>
    <t>ВЕЛИКИЕ НАСТАВНИКИ РОССИЙСКОГО УЧИТЕЛЬСТВА ХVIII- XIX ВЕКОВ</t>
  </si>
  <si>
    <t>Богуславский М.В.</t>
  </si>
  <si>
    <t>978-5-16-019898-9</t>
  </si>
  <si>
    <t>44.00.00, 44.03.01, 44.03.05, 44.04.01, 44.04.02, 44.04.04, 44.06.01</t>
  </si>
  <si>
    <t>Институт содержания и методов обучения им. В.С. Леднева</t>
  </si>
  <si>
    <t>АКАДЕМУС-2024, Победитель, III место</t>
  </si>
  <si>
    <t>641478.06.01</t>
  </si>
  <si>
    <t>Ветеринарно-санитарная экспертиза рыбы и рыбопродуктов: Спр. / Т.И.Дячук-М.:НИЦ ИНФРА-М,2023-366с(П)</t>
  </si>
  <si>
    <t>ВЕТЕРИНАРНО-САНИТАРНАЯ ЭКСПЕРТИЗА РЫБЫ И РЫБОПРОДУКТОВ</t>
  </si>
  <si>
    <t>Дячук Т.И.</t>
  </si>
  <si>
    <t>978-5-16-012329-5</t>
  </si>
  <si>
    <t>Сельское хозяйство</t>
  </si>
  <si>
    <t>19.02.11, 19.02.12, 35.01.32, 35.02.09, 36.02.03, 36.03.01, 36.04.01</t>
  </si>
  <si>
    <t>Допущено  Министерством сельского хозяйства Российской Федерации в качестве учебного пособия для студентов, обучающихся по специальностям 36.03.01 «Ветеринарно-санитарная экспертиза» и 36.05.01 «Ветеринария»</t>
  </si>
  <si>
    <t>Новосибирский химико-технологический колледж им. Д.И. Менделеева</t>
  </si>
  <si>
    <t>707071.03.01</t>
  </si>
  <si>
    <t>Взаимодействие педагог. науки и системы...: Моногр. / Я.С.Турбовской - М.:НИЦ ИНФРА-М,2025  - 276 с.(П)</t>
  </si>
  <si>
    <t>ВЗАИМОДЕЙСТВИЕ ПЕДАГОГИЧЕСКОЙ НАУКИ И СИСТЕМЫ ОТЕЧЕСТВЕННОГО ОБРАЗОВАНИЯ КАК УПРАВЛЯЕМЫЙ ПРОЦЕСС</t>
  </si>
  <si>
    <t>Турбовской Я.С.</t>
  </si>
  <si>
    <t>978-5-16-015250-9</t>
  </si>
  <si>
    <t>44.04.01, 44.04.02, 44.04.03, 44.04.04, 44.05.01</t>
  </si>
  <si>
    <t>644533.10.01</t>
  </si>
  <si>
    <t>Взлеты и падения гениев науки: практ. по метод. науки: Моногр. / В.А.Канке - М.:НИЦ ИНФРА-М,2025 - 190 с.(П)</t>
  </si>
  <si>
    <t>ВЗЛЕТЫ И ПАДЕНИЯ ГЕНИЕВ НАУКИ. НАУЧНО-ПОПУЛЯРНЫЕ ОЧЕРКИ</t>
  </si>
  <si>
    <t>Канке В.А.</t>
  </si>
  <si>
    <t>Наука и практика</t>
  </si>
  <si>
    <t>978-5-16-012428-5</t>
  </si>
  <si>
    <t>47.03.01</t>
  </si>
  <si>
    <t>Национальный исследовательский ядерный университет "МИФИ"</t>
  </si>
  <si>
    <t>834527.02.01</t>
  </si>
  <si>
    <t>Видные настав. рос. учительства второй половины ХХ в. / М.В.Богуславский - М.:НИЦ ИНФРА-М,2026. - 153 с.(п)</t>
  </si>
  <si>
    <t>ВИДНЫЕ НАСТАВНИКИ РОССИЙСКОГО УЧИТЕЛЬСТВА ВТОРОЙ ПОЛОВИНЫ ХХ ВЕКА</t>
  </si>
  <si>
    <t>978-5-16-020838-1</t>
  </si>
  <si>
    <t>44.03.01, 44.03.03, 44.03.05, 44.04.01, 44.04.02, 44.04.03, 44.04.04, 44.06.01</t>
  </si>
  <si>
    <t>803215.01.01</t>
  </si>
  <si>
    <t>Виртуальная проф. практика для студентов-дефектологов: Моногр. / Т.В.Николаева-М.:НИЦ ИНФРА-М,2024.-160 с.(п)</t>
  </si>
  <si>
    <t>ВИРТУАЛЬНАЯ ПРОФЕССИОНАЛЬНАЯ ПРАКТИКА ДЛЯ СТУДЕНТОВ-ДЕФЕКТОЛОГОВ</t>
  </si>
  <si>
    <t>Николаева Т.В.</t>
  </si>
  <si>
    <t>978-5-16-019234-5</t>
  </si>
  <si>
    <t>44.03.03, 44.04.03, 44.06.01</t>
  </si>
  <si>
    <t>Институт коррекционной педагогики</t>
  </si>
  <si>
    <t>684194.02.01</t>
  </si>
  <si>
    <t>Власть и общество в развитии общего образования в Рос.: Моногр. / А.В.Овчинников.-М.:НИЦ ИНФРА-М,2019.-230с(П)</t>
  </si>
  <si>
    <t>ВЛАСТЬ И ОБЩЕСТВО В РАЗВИТИИ ОБЩЕГО ОБРАЗОВАНИЯ В РОССИИ (XIX - КОНЕЦ XX ВЕКА)</t>
  </si>
  <si>
    <t>Овчинников А.В., Козлова Г.Н., Петухова И.В.</t>
  </si>
  <si>
    <t>978-5-16-014098-8</t>
  </si>
  <si>
    <t>44.03.04, 44.03.05, 44.04.01, 44.04.02, 44.04.03, 44.04.04</t>
  </si>
  <si>
    <t>134662.12.01</t>
  </si>
  <si>
    <t>Внешняя торговля: Словарь-справ. / А.О.Руднева - 2 изд. - НИЦ Инфра-М, 2025 - 222 с.(Б-ка слов. "ИНФРА-М") (п)</t>
  </si>
  <si>
    <t>ВНЕШНЯЯ ТОРГОВЛЯ: СЛОВАРЬ-СПРАВОЧНИК, ИЗД.2</t>
  </si>
  <si>
    <t>Руднева А. О.</t>
  </si>
  <si>
    <t>978-5-16-005611-1</t>
  </si>
  <si>
    <t>38.03.01, 38.03.04, 41.03.05, 44.03.05</t>
  </si>
  <si>
    <t>Дипломатическая академия Министерства иностранных дел Российской Федерации</t>
  </si>
  <si>
    <t>846432.03.01</t>
  </si>
  <si>
    <t>Внутренний туризм / Л.И.Егоренков - М.:НИЦ ИНФРА-М,2026. - 193 с.(Интересно знать) (п)</t>
  </si>
  <si>
    <t>ВНУТРЕННИЙ ТУРИЗМ</t>
  </si>
  <si>
    <t>Егоренков Л.И.</t>
  </si>
  <si>
    <t>978-5-16-020496-3</t>
  </si>
  <si>
    <t>Бизнес</t>
  </si>
  <si>
    <t>43.02.16, 43.03.02, 43.03.03, 49.03.03, 51.04.03</t>
  </si>
  <si>
    <t>Государственный Университет Просвещения</t>
  </si>
  <si>
    <t>АКАДЕМУС-2023, Победитель, III место</t>
  </si>
  <si>
    <t>708875.02.01</t>
  </si>
  <si>
    <t>ВО как ресурс управ. социокультурной модернизацией регионов/ Р.В.Леньков-М.:НИЦ ИНФРА-М,2023.-161 с.(О)</t>
  </si>
  <si>
    <t>ВЫСШЕЕ ОБРАЗОВАНИЕ КАК РЕСУРС УПРАВЛЕНИЯ СОЦИОКУЛЬТУРНОЙ МОДЕРНИЗАЦИЕЙ РЕГИОНОВ</t>
  </si>
  <si>
    <t>Леньков Р.В.</t>
  </si>
  <si>
    <t>978-5-16-016155-6</t>
  </si>
  <si>
    <t>39.04.01, 39.06.01</t>
  </si>
  <si>
    <t>Российский государственный университет социальных технологий</t>
  </si>
  <si>
    <t>637303.12.01</t>
  </si>
  <si>
    <t>Военная доктрина РФ - М.:НИЦ ИНФРА-М,2025 - 22 с.(О)</t>
  </si>
  <si>
    <t>ВОЕННАЯ ДОКТРИНА РОССИЙСКОЙ ФЕДЕРАЦИИ</t>
  </si>
  <si>
    <t>Без автора</t>
  </si>
  <si>
    <t>Обложка. Внакидку</t>
  </si>
  <si>
    <t>Федеральные нормы и правила</t>
  </si>
  <si>
    <t>978-5-16-012205-2</t>
  </si>
  <si>
    <t>Закон РФ</t>
  </si>
  <si>
    <t>40.03.01, 41.03.04, 41.03.06, 41.04.04, 44.03.01, 44.03.05</t>
  </si>
  <si>
    <t>ДА</t>
  </si>
  <si>
    <t>773884.07.01</t>
  </si>
  <si>
    <t>Возвращаясь к Чехову: Моногр. / В.Я.Звиняцковский - М.:НИЦ ИНФРА-М,2026. - 189 с.(Науч.мысль)(п)</t>
  </si>
  <si>
    <t>ВОЗВРАЩАЯСЬ К ЧЕХОВУ</t>
  </si>
  <si>
    <t>Звиняцковский В.Я.</t>
  </si>
  <si>
    <t>978-5-16-017513-3</t>
  </si>
  <si>
    <t>162350.16.01</t>
  </si>
  <si>
    <t>Воспитание детей в духе миролюбия в трад..: Моногр. / О.В.Коротких - М.:НИЦ ИНФРА-М,2026 - 128 с(О)</t>
  </si>
  <si>
    <t>ВОСПИТАНИЕ ДЕТЕЙ В ДУХЕ МИРОЛЮБИЯ В ТРАДИЦИЯХ НАРОДНОЙ ПЕДАГОГИКИ</t>
  </si>
  <si>
    <t>Коротких О.В.</t>
  </si>
  <si>
    <t>978-5-16-005175-8</t>
  </si>
  <si>
    <t>44.03.01, 44.03.02, 44.03.04, 44.03.05, 44.04.01, 44.04.02, 44.04.04</t>
  </si>
  <si>
    <t>800888.04.01</t>
  </si>
  <si>
    <t>Воспитание детей и молодежи: тенденции и реш.: Моногр. / И.В.Иванова. - М.:НИЦ ИНФРА-М,2025. - 183 с.(п)</t>
  </si>
  <si>
    <t>ВОСПИТАНИЕ ДЕТЕЙ И МОЛОДЕЖИ: ТЕНДЕНЦИИ И РЕШЕНИЯ</t>
  </si>
  <si>
    <t>Иванова И.В., Макарова В.А., Астахова Л.Г. и др.</t>
  </si>
  <si>
    <t>978-5-16-018627-6</t>
  </si>
  <si>
    <t>44.04.01, 44.04.02, 44.04.04, 44.05.01, 44.06.01</t>
  </si>
  <si>
    <t>Калужский государственный  университет им. К.Э. Циолковского</t>
  </si>
  <si>
    <t>643226.08.01</t>
  </si>
  <si>
    <t>Воспитание ценностных основ.личности: Моногр. / С.В.Яковлев - 2 изд. - М.:НИЦ ИНФРА-М,2024-148с(О)</t>
  </si>
  <si>
    <t>ВОСПИТАНИЕ ЦЕННОСТНЫХ ОСНОВАНИЙ ЛИЧНОСТИ, ИЗД.2</t>
  </si>
  <si>
    <t>978-5-16-010217-7</t>
  </si>
  <si>
    <t>44.04.01, 44.04.02, 44.04.03, 44.04.04, 44.06.01</t>
  </si>
  <si>
    <t>643226.09.01</t>
  </si>
  <si>
    <t>Воспитание ценностных оснований личности: Моногр. / С.В.Яковлев - 3 изд. - М.:НИЦ ИНФРА-М,2025. - 158 с.(о)</t>
  </si>
  <si>
    <t>ВОСПИТАНИЕ ЦЕННОСТНЫХ ОСНОВАНИЙ ЛИЧНОСТИ, ИЗД.3</t>
  </si>
  <si>
    <t>978-5-16-020319-5</t>
  </si>
  <si>
    <t>817547.01.01</t>
  </si>
  <si>
    <t>Всеволод Петрович Кащенко: Жизнь и деят. в документах и мат.: Сб. / М.А.Тимофеев-М.:НИЦ ИНФРА-М,2023.-761 с.(п)</t>
  </si>
  <si>
    <t>ВСЕВОЛОД ПЕТРОВИЧ КАЩЕНКО: ЖИЗНЬ И ДЕЯТЕЛЬНОСТЬ В ДОКУМЕНТАХ И МАТЕРИАЛАХ</t>
  </si>
  <si>
    <t>Тимофеев М.А., Кукушкина Е.А.</t>
  </si>
  <si>
    <t>978-5-16-019378-6</t>
  </si>
  <si>
    <t>Сборник документов</t>
  </si>
  <si>
    <t>44.04.03, 44.06.01, 44.07.02</t>
  </si>
  <si>
    <t>342900.08.01</t>
  </si>
  <si>
    <t>Вся физика на ладони. Интерактивный справ. / С.И.Кузнецов - М.:Вуз. уч., НИЦ ИНФРА-М,2025. - 252 с.(ВО)(П)</t>
  </si>
  <si>
    <t>ВСЯ ФИЗИКА НА ЛАДОНИ. ИНТЕРАКТИВНЫЙ СПРАВОЧНИК</t>
  </si>
  <si>
    <t>Кузнецов С.И., Рогозин К.И.</t>
  </si>
  <si>
    <t>978-5-9558-0422-4</t>
  </si>
  <si>
    <t>03.03.01, 03.03.02, 03.03.03, 04.03.01, 04.03.02, 05.03.01, 05.03.02, 05.03.03, 05.03.04, 05.03.05, 05.03.06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</si>
  <si>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техническим направлениям подготовки (протокол № 4 от 02.03.2020)</t>
  </si>
  <si>
    <t>Национальный исследовательский Томский политехнический университет</t>
  </si>
  <si>
    <t>741931.05.01</t>
  </si>
  <si>
    <t>Вся физика на ладони. Интерактивный справ. / С.И.Кузнецов - М.:НИЦ ИНФРА-М,2026. - 252 с.(СПО)(п)</t>
  </si>
  <si>
    <t>Среднее профессиональное образование</t>
  </si>
  <si>
    <t>978-5-16-021175-6</t>
  </si>
  <si>
    <t>Профессиональное образование / Среднее профессиональное образование</t>
  </si>
  <si>
    <t>00.02.23, 10.02.04, 25.02.01, 52.02.01, 52.02.02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</si>
  <si>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программу среднего профессионального ¶образования по техническим специальностям (протокол № 9 от 28.09.2020)</t>
  </si>
  <si>
    <t>32</t>
  </si>
  <si>
    <t>077280.21.01</t>
  </si>
  <si>
    <t>Выбор и наладка электрооборуд.: Справ. пос. / В.К.Варварин - 3 изд. - М.:Форум, НИЦ ИНФРА-М,2024 - 238 с.(П)</t>
  </si>
  <si>
    <t>ВЫБОР И НАЛАДКА ЭЛЕКТРООБОРУДОВАНИЯ, ИЗД.3</t>
  </si>
  <si>
    <t>Варварин В. К.</t>
  </si>
  <si>
    <t>978-5-00091-451-9</t>
  </si>
  <si>
    <t>08.01.31, 08.02.09, 11.01.02, 11.01.05, 13.01.07, 13.01.10, 13.02.07, 13.02.09, 13.02.12, 13.02.13, 18.01.28, 21.01.15, 26.01.05, 26.02.04, 26.02.05, 26.02.06, 35.01.15</t>
  </si>
  <si>
    <t>0314</t>
  </si>
  <si>
    <t>825874.03.01</t>
  </si>
  <si>
    <t>Выдающиеся настав. рос. учительства первой половины ХХ в. / М.В.Богуславский - М.:НИЦ ИНФРА-М,2026 - 234 с.(п)</t>
  </si>
  <si>
    <t>ВЫДАЮЩИЕСЯ НАСТАВНИКИ РОССИЙСКОГО УЧИТЕЛЬСТВА ПЕРВОЙ ПОЛОВИНЫ ХХ ВЕКА</t>
  </si>
  <si>
    <t>978-5-16-020557-1</t>
  </si>
  <si>
    <t>44.04.01, 44.04.02, 44.04.03, 44.04.04, 44.05.01, 44.06.01</t>
  </si>
  <si>
    <t>718568.06.01</t>
  </si>
  <si>
    <t>Высшее образование в России: вызовы времени и взгляд в будущее: Моногр. / В.И.Алешникова - М.:НИЦ ИНФРА-М,2026. - 610 с.(п)</t>
  </si>
  <si>
    <t>ВЫСШЕЕ ОБРАЗОВАНИЕ В РОССИИ: ВЫЗОВЫ ВРЕМЕНИ И ВЗГЛЯД В БУДУЩЕЕ</t>
  </si>
  <si>
    <t>Алешникова В.И., Ахметшин А.Ф., Басова В.П. и др.</t>
  </si>
  <si>
    <t>978-5-16-019406-6</t>
  </si>
  <si>
    <t>00.03.16, 00.04.16, 00.05.16, 38.04.01, 38.04.02, 38.04.03, 38.06.01, 39.04.01, 39.04.03, 39.06.01, 44.04.01</t>
  </si>
  <si>
    <t>Государственный университет управления</t>
  </si>
  <si>
    <t>403750.08.01</t>
  </si>
  <si>
    <t>Гегель: Монография / В.С.Нерсесянц, - 2 изд. - М.:Юр. НОРМА, НИЦ ИНФРА-М,2025. - 112 с.(о)</t>
  </si>
  <si>
    <t>ГЕГЕЛЬ, ИЗД.2</t>
  </si>
  <si>
    <t>Нерсесянц В. С.</t>
  </si>
  <si>
    <t>978-5-91768-314-0</t>
  </si>
  <si>
    <t>Институт государства и права Российской академии наук</t>
  </si>
  <si>
    <t>757867.02.01</t>
  </si>
  <si>
    <t>Геннадий Семенович Пономарев. Бесстрашный  прокурор. Кн. памяти / Под ред. Герасимова С.-М.:Юр.Норма, 2 изд/2021.-192 с.(П)</t>
  </si>
  <si>
    <t>ГЕННАДИЙ СЕМЕНОВИЧ ПОНОМАРЕВ. БЕССТРАШНЫЙ  ПРОКУРОР. КНИГА ПАМЯТИ, ИЗД.2</t>
  </si>
  <si>
    <t>Герасимов С.</t>
  </si>
  <si>
    <t>978-5-00156-191-0</t>
  </si>
  <si>
    <t>Общее</t>
  </si>
  <si>
    <t>40.03.01, 40.04.01, 40.05.02, 40.05.04, 40.06.01</t>
  </si>
  <si>
    <t>0221</t>
  </si>
  <si>
    <t>226900.10.01</t>
  </si>
  <si>
    <t>География почв: Толковый словарь / В.Д.Наумов - М.:НИЦ ИНФРА-М,2025 - 376 с.(Б-ка словарей ИНФРА-М)(П) [12+]</t>
  </si>
  <si>
    <t>ГЕОГРАФИЯ ПОЧВ</t>
  </si>
  <si>
    <t>Наумов В.Д.</t>
  </si>
  <si>
    <t>978-5-16-009015-3</t>
  </si>
  <si>
    <t>05.03.02, 05.04.02, 20.02.01, 35.02.01, 35.03.03, 35.03.04, 35.04.03, 35.04.04</t>
  </si>
  <si>
    <t>Российский государственный аграрный университет - МСХА им. К.А. Тимирязева</t>
  </si>
  <si>
    <t>742745.01.01</t>
  </si>
  <si>
    <t>Геометрия в образовании и науке: Моногр. / Н.А.Сальков-М.:НИЦ ИНФРА-М,2021.-232 с.(Науч.мысль)(О)</t>
  </si>
  <si>
    <t>ГЕОМЕТРИЯ В ОБРАЗОВАНИИ И НАУКЕ</t>
  </si>
  <si>
    <t>Сальков Н.А.</t>
  </si>
  <si>
    <t>978-5-16-016471-7</t>
  </si>
  <si>
    <t>01.06.01, 07.06.01, 08.06.01, 15.06.01</t>
  </si>
  <si>
    <t>Московский государственный академический художественный институт им. В.И. Сурикова при Российской академии художеств</t>
  </si>
  <si>
    <t>450868.0072.01</t>
  </si>
  <si>
    <t>Геометрия и графика, 2024, № 1</t>
  </si>
  <si>
    <t>ГЕОМЕТРИЯ И ГРАФИКА, 2024, № 1</t>
  </si>
  <si>
    <t>Технические науки в целом</t>
  </si>
  <si>
    <t>450868.0077.01</t>
  </si>
  <si>
    <t>Геометрия и графика, 2025, № 1</t>
  </si>
  <si>
    <t>ГЕОМЕТРИЯ И ГРАФИКА, 2025, № 1</t>
  </si>
  <si>
    <t>Июль, 2025</t>
  </si>
  <si>
    <t>745952.03.01</t>
  </si>
  <si>
    <t>Глобализм и экофилософия будущего: Моногр. / Н.М.Исмаилов - М.:НИЦ ИНФРА-М,2024 - 253 с.(Науч.мысль)(О)</t>
  </si>
  <si>
    <t>ГЛОБАЛИЗМ И ЭКОФИЛОСОФИЯ БУДУЩЕГО</t>
  </si>
  <si>
    <t>Исмаилов Н.М.</t>
  </si>
  <si>
    <t>978-5-16-016670-4</t>
  </si>
  <si>
    <t>05.04.06, 05.06.01, 20.04.01, 20.04.02, 20.06.01, 47.04.01, 47.06.01</t>
  </si>
  <si>
    <t>Национальная академия наук Азербайджана</t>
  </si>
  <si>
    <t>818789.01.01</t>
  </si>
  <si>
    <t>Глобальные зависимости и нац. особ. образоват. яз. политики...: Моногр./М.А.Марусенко-М.:НИЦ ИНФРА-М,2025-227 с.(п)</t>
  </si>
  <si>
    <t>ГЛОБАЛЬНЫЕ ЗАВИСИМОСТИ И НАЦИОНАЛЬНЫЕ ОСОБЕННОСТИ ОБРАЗОВАТЕЛЬНОЙ ЯЗЫКОВОЙ ПОЛИТИКИ В РАЗВИВАЮЩИХСЯ СТРАНАХ</t>
  </si>
  <si>
    <t>Марусенко М.А., Марусенко Н.М.</t>
  </si>
  <si>
    <t>978-5-16-019620-6</t>
  </si>
  <si>
    <t>45.03.02, 45.04.02, 45.04.03</t>
  </si>
  <si>
    <t>АКАДЕМУС-2023, Победитель, III место
АИСТ'ИЯ-2025, Победитель</t>
  </si>
  <si>
    <t>633935.12.01</t>
  </si>
  <si>
    <t>Глоссарий юр. терминов по антикоррупц. темат.: Сл. / Н.А.Власенко. - М.:НИЦ ИНФРА-М,2026 - 168 с.(О)</t>
  </si>
  <si>
    <t>ГЛОССАРИЙ ЮРИДИЧЕСКИХ ТЕРМИНОВ ПО АНТИКОРРУПЦИОННОЙ ТЕМАТИКЕ</t>
  </si>
  <si>
    <t>Власенко Н.А., Цирин А.М., Спектор Е.И. и др.</t>
  </si>
  <si>
    <t>ИЗиСП</t>
  </si>
  <si>
    <t>978-5-16-012084-3</t>
  </si>
  <si>
    <t>38.03.01, 40.02.04, 40.03.01, 40.04.01, 40.05.01, 40.05.02, 40.05.03</t>
  </si>
  <si>
    <t>Российский университет дружбы народов имени Патриса Лумумбы</t>
  </si>
  <si>
    <t>445600.11.01</t>
  </si>
  <si>
    <t>Говорите языком схем: Краткий справ ./ В.Б.Исаков - 2 изд. - М.:Юр.Норма, НИЦ ИНФРА-М,2025 - 216 с.(О)</t>
  </si>
  <si>
    <t>ГОВОРИТЕ ЯЗЫКОМ СХЕМ, ИЗД.2</t>
  </si>
  <si>
    <t>Исаков В.Б.</t>
  </si>
  <si>
    <t>978-5-00156-230-6</t>
  </si>
  <si>
    <t>Естественные науки в целом</t>
  </si>
  <si>
    <t>40.03.01, 40.04.01, 40.05.01, 40.05.02, 40.05.03</t>
  </si>
  <si>
    <t>Национальный исследовательский университет "Высшая школа экономики"</t>
  </si>
  <si>
    <t>445600.07.01</t>
  </si>
  <si>
    <t>Говорите языком схем: Краткий справочник / В.Б.Исаков - М.:Юр.Норма, НИЦ ИНФРА-М,2021.-144 с.(О)</t>
  </si>
  <si>
    <t>ГОВОРИТЕ ЯЗЫКОМ СХЕМ</t>
  </si>
  <si>
    <t>978-5-91768-665-3</t>
  </si>
  <si>
    <t>094690.10.01</t>
  </si>
  <si>
    <t>Господство: Очерки политической философии: Моногр. /И.А.Исаев -М.:Юр.Норма,НИЦ ИНФРА-М,2024-352с(О)</t>
  </si>
  <si>
    <t>ГОСПОДСТВО: ОЧЕРКИ ПОЛИТИЧЕСКОЙ ФИЛОСОФИИ</t>
  </si>
  <si>
    <t>Исаев И.А.</t>
  </si>
  <si>
    <t>978-5-00156-019-7</t>
  </si>
  <si>
    <t>41.04.04, 47.03.01, 47.04.01</t>
  </si>
  <si>
    <t>238100.14.01</t>
  </si>
  <si>
    <t>Гости из прошлого: Сл. редких слов: В 3 т.Т 2: К-П / Е.В.Гаева - М.:НИЦ ИНФРА-М,2023-652 с.(о)</t>
  </si>
  <si>
    <t>ГОСТИ ИЗ ПРОШЛОГО</t>
  </si>
  <si>
    <t>Гаева Е.В.</t>
  </si>
  <si>
    <t>978-5-16-011397-5</t>
  </si>
  <si>
    <t>Дополнительное образование / Дополнительное профессиональное образование / ДПО - повышение квалификации</t>
  </si>
  <si>
    <t>45.03.01, 45.03.04, 45.04.01, 45.04.04, 45.05.01</t>
  </si>
  <si>
    <t>Курганский государственный университет</t>
  </si>
  <si>
    <t>237900.14.01</t>
  </si>
  <si>
    <t>Гости из прошлого: Сл. редких слов: В 3 т.Т.1: А-Й / Е.В.Гаева - М.:НИЦ ИНФРА-М,2023 - 631 с.(о)[12+]</t>
  </si>
  <si>
    <t>ГОСТИ ИЗ ПРОШЛОГО, Т.1</t>
  </si>
  <si>
    <t>978-5-16-011396-8</t>
  </si>
  <si>
    <t>238200.14.01</t>
  </si>
  <si>
    <t>Гости из прошлого: Сл. редких слов: В 3 т.Т.3: П-Я / Е.В.Гаева - М.:НИЦ ИНФРА-М,2023 - 621 с.(О)[12+]</t>
  </si>
  <si>
    <t>978-5-16-011399-9</t>
  </si>
  <si>
    <t>654596.05.01</t>
  </si>
  <si>
    <t>Гостиничное дело: Сл. / Под ред. Морозовой Н.С. - М.:НИЦ ИНФРА-М,2023 - 247 с.(Б-ка сл. ИНФРА-М)(П)</t>
  </si>
  <si>
    <t>ГОСТИНИЧНОЕ ДЕЛО</t>
  </si>
  <si>
    <t>Морозова Н.С., Морозов М.М., Маврина Н.Ф. и др.</t>
  </si>
  <si>
    <t>978-5-16-014764-2</t>
  </si>
  <si>
    <t>43.03.03, 43.04.02, 43.04.03</t>
  </si>
  <si>
    <t>Российский новый университет</t>
  </si>
  <si>
    <t>760105.01.01</t>
  </si>
  <si>
    <t>Государство и право как феномены религиозного сознания чел. / А.Л.Панищев-М.:НИЦ ИНФРА-М,2022.-314 с.(П)</t>
  </si>
  <si>
    <t>ГОСУДАРСТВО И ПРАВО КАК ФЕНОМЕНЫ РЕЛИГИОЗНОГО СОЗНАНИЯ ЧЕЛОВЕКА</t>
  </si>
  <si>
    <t>Панищев А.Л.</t>
  </si>
  <si>
    <t>978-5-16-017074-9</t>
  </si>
  <si>
    <t>40.04.01, 40.06.01, 47.04.03, 47.06.01</t>
  </si>
  <si>
    <t>Юго-Западный государственный университет</t>
  </si>
  <si>
    <t>808353.01.01</t>
  </si>
  <si>
    <t>Грамматический параллелизм в текстах...: Моногр./ К.А.Калинин-М.:НИЦ ИНФРА-М,2025.-187 с.(Науч.мысль)(о)</t>
  </si>
  <si>
    <t>ГРАММАТИЧЕСКИЙ ПАРАЛЛЕЛИЗМ В ТЕКСТАХ ДРЕВНЕРУССКОЙ ОРАТОРСКОЙ ПРОЗЫ</t>
  </si>
  <si>
    <t>Калинин К.А.</t>
  </si>
  <si>
    <t>978-5-16-018877-5</t>
  </si>
  <si>
    <t>Набережночелнинский государственный педагогический университет</t>
  </si>
  <si>
    <t>397900.14.01</t>
  </si>
  <si>
    <t>Графический дизайн: стилевая эволюция: Моногр. / И.Г.Пендикова - М,НИЦ ИНФРА-М,2026 - 160 с.(О)</t>
  </si>
  <si>
    <t>ГРАФИЧЕСКИЙ ДИЗАЙН: СТИЛЕВАЯ ЭВОЛЮЦИЯ</t>
  </si>
  <si>
    <t>Пендикова И.Г.</t>
  </si>
  <si>
    <t>978-5-16-011269-5</t>
  </si>
  <si>
    <t>42.04.01, 43.01.11, 54.01.01, 54.01.06, 54.01.12, 54.01.20, 54.02.01, 54.04.01</t>
  </si>
  <si>
    <t>Омский государственный технический университет</t>
  </si>
  <si>
    <t>187350.04.01</t>
  </si>
  <si>
    <t>Дао и телос в смысл. измер.культур вост.и запад. типа: Моногр. /С.Е.Ячин-М.:НИЦ ИНФРА-М,2017-324с(о)</t>
  </si>
  <si>
    <t>ДАО И ТЕЛОС В СМЫСЛОВОМ ИЗМЕРЕНИИ КУЛЬТУР ВОСТОЧНОГО И ЗАПАДНОГО ТИПА</t>
  </si>
  <si>
    <t>Ячин С. Е., Конончук Д. В., Поповкин А. В., Буланенко М. Е.</t>
  </si>
  <si>
    <t>978-5-16-006010-1</t>
  </si>
  <si>
    <t>41.03.06, 44.03.05, 47.03.01, 47.04.01, 51.03.01, 51.04.01</t>
  </si>
  <si>
    <t>774992.04.01</t>
  </si>
  <si>
    <t>Девиантология - социология и психология зла: Моногр. / Т.А.Хагуров - М.:НИЦ ИНФРА-М,2026. - 412 с.(О)</t>
  </si>
  <si>
    <t>ДЕВИАНТОЛОГИЯ - СОЦИОЛОГИЯ И ПСИХОЛОГИЯ ЗЛА</t>
  </si>
  <si>
    <t>Хагуров Т.А.</t>
  </si>
  <si>
    <t>978-5-16-017699-4</t>
  </si>
  <si>
    <t>37.03.01, 37.04.01, 37.05.01, 37.06.01, 39.03.01, 39.04.01, 39.04.02, 40.04.01, 40.06.01, 44.04.02, 44.05.01, 44.06.01, 44.07.02, 47.04.02, 47.06.01, 47.07.01</t>
  </si>
  <si>
    <t>Кубанский государственный университет</t>
  </si>
  <si>
    <t>Книжная социологическая премия имени Б. А. Грушина-2023, Лауреат</t>
  </si>
  <si>
    <t>053150.14.01</t>
  </si>
  <si>
    <t>Декларация прав и свобод человека и гражданина. - М.: ИД РИОР: ИНФРА-М, 2024. - 11 с. (О)</t>
  </si>
  <si>
    <t>ДЕКЛАРАЦИЯ ПРАВ И СВОБОД ЧЕЛОВЕКА И ГРАЖДАНИНА</t>
  </si>
  <si>
    <t>978-5-369-00626-9</t>
  </si>
  <si>
    <t>38.03.04, 40.02.02, 40.02.04, 40.03.01, 40.04.01, 44.03.05</t>
  </si>
  <si>
    <t>0104</t>
  </si>
  <si>
    <t>845070.01.01</t>
  </si>
  <si>
    <t>Декоративное садоводство с основами ландшафтного проектирования -М.:НИЦ ИНФРА-М,2026.-514 с..-(Интересно знать) [16+](п)</t>
  </si>
  <si>
    <t>ДЕКОРАТИВНОЕ САДОВОДСТВО С ОСНОВАМИ ЛАНДШАФТНОГО ПРОЕКТИРОВАНИЯ</t>
  </si>
  <si>
    <t>978-5-16-020475-8</t>
  </si>
  <si>
    <t>35.02.12</t>
  </si>
  <si>
    <t>846611.04.01</t>
  </si>
  <si>
    <t>Декоративно-прикладное искусство / В.Н.Молотова - М.:Форум, НИЦ ИНФРА-М,2025. - 288 с.:цв. ил.[16+](п)</t>
  </si>
  <si>
    <t>ДЕКОРАТИВНО-ПРИКЛАДНОЕ ИСКУССТВО, ИЗД.3</t>
  </si>
  <si>
    <t>Молотова В.Н.</t>
  </si>
  <si>
    <t>978-5-00091-817-3</t>
  </si>
  <si>
    <t>54.01.20</t>
  </si>
  <si>
    <t>845814.03.01</t>
  </si>
  <si>
    <t>Деловой этикет / И.Н.Кузнецов - М.:НИЦ ИНФРА-М,2026. - 348 с.(Интересно знать)(п)</t>
  </si>
  <si>
    <t>ДЕЛОВОЙ ЭТИКЕТ</t>
  </si>
  <si>
    <t>Кузнецов И.Н.</t>
  </si>
  <si>
    <t>978-5-16-020485-7</t>
  </si>
  <si>
    <t>38.03.03, 38.03.05, 43.03.01</t>
  </si>
  <si>
    <t>Белорусский государственный университет</t>
  </si>
  <si>
    <t>724344.02.01</t>
  </si>
  <si>
    <t>Дерптский Проф. институт - науч.-педагог. шк. России / Н.В.Карнаух-М.:НИЦ ИНФРА-М,2024.-331 с.(О)</t>
  </si>
  <si>
    <t>ДЕРПТСКИЙ ПРОФЕССОРСКИЙ ИНСТИТУТ - НАУЧНО-ПЕДАГОГИЧЕСКАЯ ШКОЛА РОССИИ</t>
  </si>
  <si>
    <t>Карнаух Н.В.</t>
  </si>
  <si>
    <t>978-5-16-015888-4</t>
  </si>
  <si>
    <t>Благовещенский государственный педагогический университет</t>
  </si>
  <si>
    <t>300800.13.01</t>
  </si>
  <si>
    <t>Дети и телевидение: история психол.исслед...: Моногр. / О.И.Маховская - М.:НИЦ ИНФРА-М,2026 - 172с(О)</t>
  </si>
  <si>
    <t>ДЕТИ И ТЕЛЕВИДЕНИЕ: ИСТОРИЯ ПСИХОЛОГИЧЕСКИХ ИССЛЕДОВАНИЙ И ЭКСПЕРТИЗЫ ТЕЛЕПРОГРАММ ДЛЯ ДЕТЕЙ</t>
  </si>
  <si>
    <t>Маховская О.И., Марченко Ф.О.</t>
  </si>
  <si>
    <t>978-5-16-010167-5</t>
  </si>
  <si>
    <t>37.03.01, 37.04.01</t>
  </si>
  <si>
    <t>Институт психологии Российской академии наук</t>
  </si>
  <si>
    <t>814125.01.01</t>
  </si>
  <si>
    <t>Диалектическая методология построения теории в совр/// / В.И.Столяров-М.:НИЦ ИНФРА-М,2024.-482 с.(п)</t>
  </si>
  <si>
    <t>ДИАЛЕКТИЧЕСКАЯ МЕТОДОЛОГИЯ ПОСТРОЕНИЯ ТЕОРИИ В СОВРЕМЕННОМ НАУЧНОМ ПОЗНАНИИ</t>
  </si>
  <si>
    <t>Столяров В.И.</t>
  </si>
  <si>
    <t>978-5-16-019233-8</t>
  </si>
  <si>
    <t>00.04.16, 00.05.16, 47.04.01, 47.06.01</t>
  </si>
  <si>
    <t>Российский университет спорта «ГЦОЛИФК»</t>
  </si>
  <si>
    <t>735076.01.01</t>
  </si>
  <si>
    <t>Диалектический материализм: взаимосвязь категорий...: Моногр. / А.Т.Свергузов-М.:НИЦ ИНФРА-М,2022.-204 с.(О)</t>
  </si>
  <si>
    <t>ДИАЛЕКТИЧЕСКИЙ МАТЕРИАЛИЗМ: ВЗАИМОСВЯЗЬ КАТЕГОРИЙ «МАТЕРИЯ» И «НЕБЫТИЕ»</t>
  </si>
  <si>
    <t>Свергузов А.Т.</t>
  </si>
  <si>
    <t>978-5-16-016306-2</t>
  </si>
  <si>
    <t>00.03.11, 00.05.11, 47.04.01, 47.06.01</t>
  </si>
  <si>
    <t>Казанский национальный исследовательский технологический университет</t>
  </si>
  <si>
    <t>678173.07.01</t>
  </si>
  <si>
    <t>Дидактика практико-ориентир. образования: Моногр. / В.А.Беликов - 2 изд. - М.:НИЦ ИНФРА-М,2026 - 323 с.(П)</t>
  </si>
  <si>
    <t>ДИДАКТИКА ПРАКТИКО-ОРИЕНТИРОВАННОГО ОБРАЗОВАНИЯ, ИЗД.2</t>
  </si>
  <si>
    <t>Беликов В.А., Романов П.Ю., Валеев А.С. и др.</t>
  </si>
  <si>
    <t>978-5-16-015686-6</t>
  </si>
  <si>
    <t>37.03.01, 44.03.01, 44.03.02, 44.03.04, 44.03.05, 44.04.01</t>
  </si>
  <si>
    <t>Уфимский Университет Науки и Технологий, Сибайский институт ф-л</t>
  </si>
  <si>
    <t>678173.02.01</t>
  </si>
  <si>
    <t>Дидактика практико-ориентир. образования: Моногр. / В.А.Беликов.-М.:НИЦ ИНФРА-М,2019.-267с(П)</t>
  </si>
  <si>
    <t>ДИДАКТИКА ПРАКТИКО-ОРИЕНТИРОВАННОГО ОБРАЗОВАНИЯ</t>
  </si>
  <si>
    <t>Беликов В.А., Романов П.Ю., Валеев А.С.</t>
  </si>
  <si>
    <t>978-5-16-014073-5</t>
  </si>
  <si>
    <t>439700.03.01</t>
  </si>
  <si>
    <t>Диктат иллюзий: Монография / С.В.Борзых - М.: НИЦ ИНФРА-М, 2023 - 119 с. -(Научная мысль) (О)</t>
  </si>
  <si>
    <t>ДИКТАТ ИЛЛЮЗИЙ</t>
  </si>
  <si>
    <t>978-5-16-011363-0</t>
  </si>
  <si>
    <t>47.03.01, 47.04.01</t>
  </si>
  <si>
    <t>705497.03.01</t>
  </si>
  <si>
    <t>Дискурсивное исслед. православ. религиозной идентич.: Моногр./ И.А.Юрасов-М.:НИЦ ИНФРА-М,2024-195с.(о)</t>
  </si>
  <si>
    <t>ДИСКУРСИВНОЕ ИССЛЕДОВАНИЕ ПРАВОСЛАВНОЙ РЕЛИГИОЗНОЙ ИДЕНТИЧНОСТИ</t>
  </si>
  <si>
    <t>Юрасов И.А., Павлова О.А.</t>
  </si>
  <si>
    <t>978-5-16-015265-3</t>
  </si>
  <si>
    <t>Религия. Теология</t>
  </si>
  <si>
    <t>47.03.01, 47.04.03, 47.06.01, 48.03.01, 48.04.01, 48.06.01</t>
  </si>
  <si>
    <t>Финансовый университет при Правительстве Российской Федерации, Пензенский ф-л</t>
  </si>
  <si>
    <t>803690.05.01</t>
  </si>
  <si>
    <t>Дисциплинарный устав Вооруженных Сил РФ - 2-е изд. - М.:НИЦ ИНФРА-М,2024. - 66 с.(о)</t>
  </si>
  <si>
    <t>ДИСЦИПЛИНАРНЫЙ УСТАВ ВООРУЖЕННЫХ СИЛ РОССИЙСКОЙ ФЕДЕРАЦИИ, ИЗД.2</t>
  </si>
  <si>
    <t>978-5-16-020059-0</t>
  </si>
  <si>
    <t>Военное дело. Оружие. Спецслужбы</t>
  </si>
  <si>
    <t>Устав</t>
  </si>
  <si>
    <t>56.05.01, 56.05.05</t>
  </si>
  <si>
    <t>0224</t>
  </si>
  <si>
    <t>803690.03.01</t>
  </si>
  <si>
    <t>Дисциплинарный устав Вооруженных Сил РФ - М.:НИЦ ИНФРА-М,2024.-65 с.(о)</t>
  </si>
  <si>
    <t>ДИСЦИПЛИНАРНЫЙ УСТАВ ВООРУЖЕННЫХ СИЛ РОССИЙСКОЙ ФЕДЕРАЦИИ</t>
  </si>
  <si>
    <t>978-5-16-018487-6</t>
  </si>
  <si>
    <t>424500.07.01</t>
  </si>
  <si>
    <t>Дифференциальная психофизиология и психология: Моногр./Т.Ф.Базылевич - НИЦ ИНФРА-М,2022-340(Науч.мысль)</t>
  </si>
  <si>
    <t>ДИФФЕРЕНЦИАЛЬНАЯ ПСИХОФИЗИОЛОГИЯ И ПСИХОЛОГИЯ: КЛЮЧЕВЫЕ ИДЕИ</t>
  </si>
  <si>
    <t>Базылевич Т. Ф.</t>
  </si>
  <si>
    <t>978-5-16-010332-7</t>
  </si>
  <si>
    <t>37.03.01, 37.04.01, 44.03.01, 44.03.05</t>
  </si>
  <si>
    <t>Московский государственный университет технологий и управления им. К.Г. Разумовского</t>
  </si>
  <si>
    <t>857395.01.01</t>
  </si>
  <si>
    <t>Достоевский - Ницше: Пробл. человека: Моногр. / В.В.Дудкин, - 2 изд. - М.:НИЦ ИНФРА-М,2025. - 213 с.(п)</t>
  </si>
  <si>
    <t>ДОСТОЕВСКИЙ - НИЦШЕ: ПРОБЛЕМА ЧЕЛОВЕКА, ИЗД.2</t>
  </si>
  <si>
    <t>Дудкин В.В.</t>
  </si>
  <si>
    <t>978-5-16-021042-1</t>
  </si>
  <si>
    <t>44.03.01, 44.03.05, 45.03.01, 47.03.01, 47.04.01, 47.06.01, 48.03.01, 52.05.04</t>
  </si>
  <si>
    <t>Новгородский государственный университет им. Ярослава Мудрого</t>
  </si>
  <si>
    <t>433250.06.01</t>
  </si>
  <si>
    <t>Древнегреческая метафизика: генезис...: Моногр. / С.А.Нижников-М.:НИЦ ИНФРА-М,2022.-216 с.(Науч.мысль)(О)</t>
  </si>
  <si>
    <t>ДРЕВНЕГРЕЧЕСКАЯ МЕТАФИЗИКА: ГЕНЕЗИС И КЛАССИКА</t>
  </si>
  <si>
    <t>Нижников С.А., Семушкин А.В.</t>
  </si>
  <si>
    <t>978-5-16-006679-0</t>
  </si>
  <si>
    <t>40.03.01, 44.03.01, 44.03.05, 47.03.01, 47.03.02, 47.03.03, 47.04.01, 47.04.02, 47.04.03</t>
  </si>
  <si>
    <t>433150.04.01</t>
  </si>
  <si>
    <t>Духовное познание и архетипы философ.культур Востока и Запада:Моногр. / А.В.Семушкин-М.:НИЦ ИНФРА-М,2021-231с</t>
  </si>
  <si>
    <t>ДУХОВНОЕ ПОЗНАНИЕ И АРХЕТИПЫ ФИЛОСОФСКИХ КУЛЬТУР ВОСТОКА И ЗАПАДА</t>
  </si>
  <si>
    <t>Семушкин А. В., Нижников С. А.</t>
  </si>
  <si>
    <t>978-5-16-006678-3</t>
  </si>
  <si>
    <t>704204.05.01</t>
  </si>
  <si>
    <t>Душа как реальность: Моногр. / Е.Ф.Казаков - М.:НИЦ ИНФРА-М,2026. - 207 с.(Науч.мысль)(О)</t>
  </si>
  <si>
    <t>ДУША КАК РЕАЛЬНОСТЬ</t>
  </si>
  <si>
    <t>978-5-16-014987-5</t>
  </si>
  <si>
    <t>47.04.01</t>
  </si>
  <si>
    <t>747701.05.01</t>
  </si>
  <si>
    <t>Душа русской культуры: Монография / Е.Ф.Казаков - М.:НИЦ ИНФРА-М,2025 - 167 с.-(Науч.мысль)(О)</t>
  </si>
  <si>
    <t>ДУША РУССКОЙ КУЛЬТУРЫ</t>
  </si>
  <si>
    <t>978-5-16-016729-9</t>
  </si>
  <si>
    <t>45.04.01, 45.04.04, 45.06.01</t>
  </si>
  <si>
    <t>094880.12.01</t>
  </si>
  <si>
    <t>Европейский Союз: Основополагающие акты в редакц... / С.Ю.Кашкин -2изд. -М.:НИЦ ИНФРА-М,2024-650с(П)</t>
  </si>
  <si>
    <t>ЕВРОПЕЙСКИЙ СОЮЗ: ОСНОВОПОЛАГАЮЩИЕ АКТЫ В РЕДАКЦИИ ЛИССАБОНСКОГО ДОГОВОРА С КОММЕНТАРИЯМИ, ИЗД.2</t>
  </si>
  <si>
    <t>Кашкин С.Ю., Четвериков А.О., Кашкин С.Ю.</t>
  </si>
  <si>
    <t>978-5-16-012161-1</t>
  </si>
  <si>
    <t>40.03.01, 40.04.01, 40.05.01, 41.03.05, 41.04.05</t>
  </si>
  <si>
    <t>185650.13.01</t>
  </si>
  <si>
    <t>Если подростку трудно учиться в школе... / Е.В.Свистунова - М.:Форум,2025 - 144 с.(О)</t>
  </si>
  <si>
    <t>ЕСЛИ ПОДРОСТКУ ТРУДНО УЧИТЬСЯ В ШКОЛЕ: ПЕДАГОГАМ И ЗАИНТЕРЕСОВАННЫМ РОДИТЕЛЯМ</t>
  </si>
  <si>
    <t>Свистунова Е. В., Демьянская М. Н., Мильке Е. А.</t>
  </si>
  <si>
    <t>978-5-91134-660-7</t>
  </si>
  <si>
    <t>44.03.01, 44.04.01, 44.06.01</t>
  </si>
  <si>
    <t>150750.10.01</t>
  </si>
  <si>
    <t>Если ситуация кажется неразрешимой... / В.К. Зарецкий. - 2 изд. - М.: Форум, 2026. - 64 с. (о)</t>
  </si>
  <si>
    <t>ЕСЛИ СИТУАЦИЯ КАЖЕТСЯ НЕРАЗРЕШИМОЙ..., ИЗД.2</t>
  </si>
  <si>
    <t>Зарецкий В. К.</t>
  </si>
  <si>
    <t>978-5-91134-502-0</t>
  </si>
  <si>
    <t>37.03.01, 37.03.02, 37.04.01, 37.04.02</t>
  </si>
  <si>
    <t>Московский государственный психолого-педагогический университет</t>
  </si>
  <si>
    <t>0211</t>
  </si>
  <si>
    <t>731838.01.01</t>
  </si>
  <si>
    <t>Жанры спортивного дискурса...: Монография / Н.Н.Кислицына-М.:НИЦ ИНФРА-М,2020.-205 с.(О)</t>
  </si>
  <si>
    <t>ЖАНРЫ СПОРТИВНОГО ДИСКУРСА: ЛИНГВОКОГНИТИВНЫЙ АСПЕКТ</t>
  </si>
  <si>
    <t>Кислицына Н.Н., Новикова Е.А.</t>
  </si>
  <si>
    <t>Научная мысль (КрымФУ)</t>
  </si>
  <si>
    <t>978-5-16-016017-7</t>
  </si>
  <si>
    <t>45.03.02, 45.04.02, 45.04.03, 45.04.04, 45.06.01</t>
  </si>
  <si>
    <t>693141.03.01</t>
  </si>
  <si>
    <t>Живая машина: Моногр. / С.В.Борзых - М.:НИЦ ИНФРА-М,2025  - 157 с.(Науч.мысль)(О)</t>
  </si>
  <si>
    <t>ЖИВАЯ МАШИНА</t>
  </si>
  <si>
    <t>978-5-16-014513-6</t>
  </si>
  <si>
    <t>795602.02.01</t>
  </si>
  <si>
    <t>Жизнь современных поколений: Монография / А.В.Микляева и др. - М.:НИЦ ИНФРА-М,2025. - 218 с.(о)</t>
  </si>
  <si>
    <t>ЖИЗНЬ СОВРЕМЕННЫХ ПОКОЛЕНИЙ: СОЦИАЛЬНО-ПСИХОЛОГИЧЕСКИЕ ТЕНДЕНЦИИ</t>
  </si>
  <si>
    <t>Микляева А.В., Пищик В.И., Постникова М.И. и др.</t>
  </si>
  <si>
    <t>978-5-16-018118-9</t>
  </si>
  <si>
    <t>39.04.01, 39.04.03, 39.06.01, 47.04.01</t>
  </si>
  <si>
    <t>Российский государственный педагогический университет им. А.И. Герцена</t>
  </si>
  <si>
    <t>638287.0062.01</t>
  </si>
  <si>
    <t>Журнал зарубежного законодательства и сравнительного правоведения, 2024, № 4</t>
  </si>
  <si>
    <t>ЖУРНАЛ ЗАРУБЕЖНОГО ЗАКОНОДАТЕЛЬСТВА И СРАВНИТЕЛЬНОГО ПРАВОВЕДЕНИЯ, 2024, № 4</t>
  </si>
  <si>
    <t>638287.0069.01</t>
  </si>
  <si>
    <t>Журнал зарубежного законодательства и сравнительного правоведения, 2025, № 5</t>
  </si>
  <si>
    <t>ЖУРНАЛ ЗАРУБЕЖНОГО ЗАКОНОДАТЕЛЬСТВА И СРАВНИТЕЛЬНОГО ПРАВОВЕДЕНИЯ, 2025, № 5</t>
  </si>
  <si>
    <t>640614.0359.01</t>
  </si>
  <si>
    <t>Журнал Российского права, 2024, № 8</t>
  </si>
  <si>
    <t>ЖУРНАЛ РОССИЙСКОГО ПРАВА, 2024, № 8</t>
  </si>
  <si>
    <t>640614.0373.01</t>
  </si>
  <si>
    <t>Журнал Российского права, 2025, № 10</t>
  </si>
  <si>
    <t>ЖУРНАЛ РОССИЙСКОГО ПРАВА, 2025, № 10</t>
  </si>
  <si>
    <t>Ноябрь, 2025</t>
  </si>
  <si>
    <t>0197</t>
  </si>
  <si>
    <t>852163.01.01</t>
  </si>
  <si>
    <t>Журналистское образ. в условиях трансформир. медиасреды: Моногр. / С.А.Базикян - М.:НИЦ ИНФРА-М,2025. - 161 с(о)</t>
  </si>
  <si>
    <t>ЖУРНАЛИСТСКОЕ ОБРАЗОВАНИЕ В УСЛОВИЯХ ТРАНСФОРМИРУЮЩЕЙСЯ МЕДИАСРЕДЫ: ПОТЕНЦИАЛ ПРОЕКТНОГО ОБУЧЕНИЯ</t>
  </si>
  <si>
    <t>Базикян С.А.</t>
  </si>
  <si>
    <t>978-5-16-020912-8</t>
  </si>
  <si>
    <t>42.04.01, 42.04.02, 42.04.04, 42.04.05, 42.06.01</t>
  </si>
  <si>
    <t>489300.06.01</t>
  </si>
  <si>
    <t>Заведующие кафедрами университетов России: Моногр. / О.А.Сазыкина - М.:НИЦ ИНФРА-М,2022-193с.(П)</t>
  </si>
  <si>
    <t>ЗАВЕДУЮЩИЕ КАФЕДРАМИ УНИВЕРСИТЕТОВ РОССИИ: СТУПЕНИ РОСТА</t>
  </si>
  <si>
    <t>Резник С.Д., Сазыкина О.А., Резник С.Д.</t>
  </si>
  <si>
    <t>978-5-16-011755-3</t>
  </si>
  <si>
    <t>38.03.01, 38.03.03, 38.04.02</t>
  </si>
  <si>
    <t>Пензенский государственный университет архитектуры и строительства</t>
  </si>
  <si>
    <t>787444.01.01</t>
  </si>
  <si>
    <t>Завоевание Земли: Моногр. / С.В.Борзых-М.:НИЦ ИНФРА-М,2023.-347 с.(Науч.мысль)(П)</t>
  </si>
  <si>
    <t>ЗАВОЕВАНИЕ ЗЕМЛИ</t>
  </si>
  <si>
    <t>978-5-16-017933-9</t>
  </si>
  <si>
    <t>47.04.01, 47.06.01</t>
  </si>
  <si>
    <t>АКАДЕМУС-2022, Победитель, III место</t>
  </si>
  <si>
    <t>053330.12.01</t>
  </si>
  <si>
    <t>Задачи уголовной политики...: Моногр. / Ф.Лист - М.: НИЦ ИНФРА-М, 2023.-110 с.(Б-ка криминолога)(О)</t>
  </si>
  <si>
    <t>ЗАДАЧИ УГОЛОВНОЙ ПОЛИТИКИ. ПРЕСТУПЛЕНИЕ КАК СОЦИАЛЬНО-ПАТОЛОГИЧЕСКОЕ ЯВЛЕНИЕ</t>
  </si>
  <si>
    <t>Лист Ф., Овчинский В. С.</t>
  </si>
  <si>
    <t>Библиотека криминолога</t>
  </si>
  <si>
    <t>978-5-16-016795-4</t>
  </si>
  <si>
    <t>40.03.01, 40.04.01</t>
  </si>
  <si>
    <t>Министерство внутренних дел Российской Федерации</t>
  </si>
  <si>
    <t>780417.01.01</t>
  </si>
  <si>
    <t>Заимствованные слова в рус. яз.: Сл. / В.Г.Маслов - М.:НИЦ ИНФРА-М,2025 - 198 с.(Б-ка сл. ИНФРА-М)(п)</t>
  </si>
  <si>
    <t>ЗАИМСТВОВАННЫЕ СЛОВА В РУССКОМ ЯЗЫКЕ</t>
  </si>
  <si>
    <t>Маслов В.Г., Маслов Д.Я.</t>
  </si>
  <si>
    <t>978-5-16-017863-9</t>
  </si>
  <si>
    <t>00.02.09, 00.02.34, 00.03.09, 00.05.09, 44.03.01, 44.03.05, 44.04.01, 45.03.01, 45.03.99, 45.04.01, 45.04.03, 45.05.01</t>
  </si>
  <si>
    <t>Ивановский государственный университет</t>
  </si>
  <si>
    <t>Январь, 2025</t>
  </si>
  <si>
    <t>814146.03.01</t>
  </si>
  <si>
    <t>Законодательство в обустройстве рос. жизни... / В.В.Лазарев - М.:Юр. НОРМА, НИЦ ИНФРА-М,2026. - 280 с.(п)</t>
  </si>
  <si>
    <t>ЗАКОНОДАТЕЛЬСТВО В ОБУСТРОЙСТВЕ РОССИЙСКОЙ ЖИЗНИ: ИСТОРИЯ И СОВРЕМЕННОСТЬ. К 250-ЛЕТИЮ СО ДНЯ РОЖДЕНИЯ М.М.СПЕРАНСКОГО</t>
  </si>
  <si>
    <t>Лазарев В.В., Хабриева Т.Я., Крашенинников П.В. и др.</t>
  </si>
  <si>
    <t>978-5-00156-334-1</t>
  </si>
  <si>
    <t>40.03.01, 40.05.01, 40.05.02, 40.05.03, 40.05.04</t>
  </si>
  <si>
    <t>645380.03.01</t>
  </si>
  <si>
    <t>Защита прав потребителей: Пособие / И.А.Шувалова-М.:НИЦ ИНФРА-М,2021.-166 с..-(Юр. консультация)(О)</t>
  </si>
  <si>
    <t>ЗАЩИТА ПРАВ ПОТРЕБИТЕЛЕЙ</t>
  </si>
  <si>
    <t>Шувалова И.А.</t>
  </si>
  <si>
    <t>Юридическая консультация</t>
  </si>
  <si>
    <t>978-5-16-014994-3</t>
  </si>
  <si>
    <t>40.03.01, 44.03.05</t>
  </si>
  <si>
    <t>Академия труда и социальных отношений</t>
  </si>
  <si>
    <t>757770.02.01</t>
  </si>
  <si>
    <t>Зло: опыт философского исслед.: Моногр. / П.А.Горохов - М.:НИЦ ИНФРА-М,2024 - 240 с.(Науч.мысль)(О)</t>
  </si>
  <si>
    <t>ЗЛО: ОПЫТ ФИЛОСОФСКОГО ИССЛЕДОВАНИЯ</t>
  </si>
  <si>
    <t>978-5-16-017198-2</t>
  </si>
  <si>
    <t>143500.08.01</t>
  </si>
  <si>
    <t>Знакомьтесь: М.Е. Салтыков-Щедрин / Авт.-сост. П.П.Барашев - М.:ИНФРА-М Изд.Дом,2026 - 378 с.(П)</t>
  </si>
  <si>
    <t>ЗНАКОМЬТЕСЬ: М.Е. САЛТЫКОВ-ЩЕДРИН</t>
  </si>
  <si>
    <t>Барашев П. П., Демина Е. П., Прончев Г. Б.</t>
  </si>
  <si>
    <t>ИНФРА-М Издательский Дом</t>
  </si>
  <si>
    <t>978-5-16-004202-2</t>
  </si>
  <si>
    <t>44.03.01, 45.03.01, 45.04.01, 46.03.01</t>
  </si>
  <si>
    <t>801904.01.01</t>
  </si>
  <si>
    <t>Иван Куратов: жизнь и творчество...: Моногр. / П.Ф.Лимеров - М.:НИЦ ИНФРА-М,2025. - 302 с.(Науч.мысль)(п)</t>
  </si>
  <si>
    <t>ИВАН КУРАТОВ: ЖИЗНЬ И ТВОРЧЕСТВО ОСНОВОПОЛОЖНИКА ЛИТЕРАТУРЫ  КОМИ</t>
  </si>
  <si>
    <t>Лимеров П.Ф.</t>
  </si>
  <si>
    <t>978-5-16-020112-2</t>
  </si>
  <si>
    <t>45.03.01</t>
  </si>
  <si>
    <t>Коми научный центр Уральского отделения Российской академии наук</t>
  </si>
  <si>
    <t>Март, 2025</t>
  </si>
  <si>
    <t>АКАДЕМУС-2024, Победитель, III место
АИСТ'ИЯ-2025, Победитель</t>
  </si>
  <si>
    <t>091000.02.01</t>
  </si>
  <si>
    <t>Иван Федоров и его эпоха: Энциклопедия / Е.Л. Немировский. - М.: Энциклопедия. 2010. - 912 с. (п) ISBN:978-5-94802-018-1</t>
  </si>
  <si>
    <t>ИВАН ФЕДОРОВ И ЕГО ЭПОХА</t>
  </si>
  <si>
    <t>Немировский Е. Л.</t>
  </si>
  <si>
    <t>Энциклопедия</t>
  </si>
  <si>
    <t>978-5-94802-018-1</t>
  </si>
  <si>
    <t>Универсальная справочная литература</t>
  </si>
  <si>
    <t>Российская Книжная Палата</t>
  </si>
  <si>
    <t>0107</t>
  </si>
  <si>
    <t>108950.13.01</t>
  </si>
  <si>
    <t>Игра: дидактическая, ролевая, деловая реш. учеб. и проф. пробл. / Л.И.Федорова - М.:НИЦ ИНФРА-М,2026 -174 с.(о)</t>
  </si>
  <si>
    <t>ИГРА: ДИДАКТИЧЕСКАЯ, РОЛЕВАЯ, ДЕЛОВАЯ</t>
  </si>
  <si>
    <t>Федорова Л.И.</t>
  </si>
  <si>
    <t>978-5-16-021194-7</t>
  </si>
  <si>
    <t>808535.01.01</t>
  </si>
  <si>
    <t>Игра-не-игра обучающая (опыт, анализ...): Моногр. / В.Н.Кругликов-М.:НИЦ ИНФРА-М,2024.-203 с.(Науч.мысль)(п)</t>
  </si>
  <si>
    <t>ИГРА-НЕ-ИГРА ОБУЧАЮЩАЯ (ОПЫТ, АНАЛИЗ, РАЗМЫШЛЕНИЯ ПЕДАГОГА-ИГРОТЕХНИКА)</t>
  </si>
  <si>
    <t>Кругликов В.Н.</t>
  </si>
  <si>
    <t>978-5-16-018936-9</t>
  </si>
  <si>
    <t>44.03.01</t>
  </si>
  <si>
    <t>Санкт-Петербургский государственный политехнический университет Петра Великого</t>
  </si>
  <si>
    <t>238700.07.01</t>
  </si>
  <si>
    <t>Идея мышления: Моногр./ С.В. Борзых - М.: НИЦ ИНФРА-М, 2022 - 118 с. (Научная мысль)(О)</t>
  </si>
  <si>
    <t>ИДЕЯ МЫШЛЕНИЯ</t>
  </si>
  <si>
    <t>Борзых С. В.</t>
  </si>
  <si>
    <t>978-5-16-009203-4</t>
  </si>
  <si>
    <t>37.04.01, 47.04.01, 47.06.01</t>
  </si>
  <si>
    <t>686687.05.01</t>
  </si>
  <si>
    <t>Идея соборности и ее худ. вопл. в романе М.А. Шолохова.../ Н.В.Стюфляева - М.:НИЦ ИНФРА-М,2025 - 172 с.(О)</t>
  </si>
  <si>
    <t>ИДЕЯ СОБОРНОСТИ И ЕЕ ХУДОЖЕСТВЕННОЕ ВОПЛОЩЕНИЕ В РОМАНЕ М.А. ШОЛОХОВА "ТИХИЙ ДОН"</t>
  </si>
  <si>
    <t>Стюфляева Н.В.</t>
  </si>
  <si>
    <t>978-5-16-014271-5</t>
  </si>
  <si>
    <t>44.03.05, 45.03.01, 45.04.01</t>
  </si>
  <si>
    <t>453300.03.01</t>
  </si>
  <si>
    <t>Избирательное право и избир.процесс в РФ: Курс лекций /А.Г.Головин -Юр.Норма, НИЦ ИНФРА-М, 2016-256с</t>
  </si>
  <si>
    <t>ИЗБИРАТЕЛЬНОЕ ПРАВО И ИЗБИРАТЕЛЬНЫЙ ПРОЦЕСС В РФ</t>
  </si>
  <si>
    <t>ГоловинА.Г.</t>
  </si>
  <si>
    <t>978-5-91768-673-8</t>
  </si>
  <si>
    <t>38.03.04, 40.03.01, 44.03.05</t>
  </si>
  <si>
    <t>Государственная Дума Федерального Собрания Российской Федерации</t>
  </si>
  <si>
    <t>632533.03.01</t>
  </si>
  <si>
    <t>Избранное / Б.В.Россинский - М.: Юр.Норма, НИЦ ИНФРА-М, 2019. - 592 с.(П)</t>
  </si>
  <si>
    <t>ИЗБРАННОЕ</t>
  </si>
  <si>
    <t>978-5-91768-736-0</t>
  </si>
  <si>
    <t>765374.04.01</t>
  </si>
  <si>
    <t>Избранное: Сб. научных трудов / Г.Ф.Ручкина-М.:НИЦ ИНФРА-М,2024.-491 с.(Науч.мысль)(П)</t>
  </si>
  <si>
    <t>Ручкина Г.Ф.</t>
  </si>
  <si>
    <t>Научная мысль - Финансовый университет</t>
  </si>
  <si>
    <t>978-5-16-017222-4</t>
  </si>
  <si>
    <t>Финансовый университет при Правительстве Российской Федерации</t>
  </si>
  <si>
    <t>750426.01.01</t>
  </si>
  <si>
    <t>Имена массовой культуры Великобритании и США: Лингвокультур. сл./ С.И.Гарагуля-М.:НИЦ ИНФРА-М,2024-381с(п)</t>
  </si>
  <si>
    <t>ИМЕНА МАССОВОЙ КУЛЬТУРЫ ВЕЛИКОБРИТАНИИ И США: ЛИНГВОКУЛЬТУРОЛОГИЧЕСКИЙ СЛОВАРЬ.</t>
  </si>
  <si>
    <t>978-5-16-016960-6</t>
  </si>
  <si>
    <t>634061.08.01</t>
  </si>
  <si>
    <t>Имя прилагательное в яз. рус. поэзии ХХ в.: Моногр./ А.Ф.Пантелеев, -2 изд.-М.:ИЦ РИОР, НИЦ ИНФРА-М,2025-134 с.(О)</t>
  </si>
  <si>
    <t>ИМЯ ПРИЛАГАТЕЛЬНОЕ В ЯЗЫКЕ РУССКОЙ ПОЭЗИИ ХХ ВЕКА, ИЗД.2</t>
  </si>
  <si>
    <t>Пантелеев А.Ф., Долматова А.С.</t>
  </si>
  <si>
    <t>978-5-369-01841-5</t>
  </si>
  <si>
    <t>44.04.01, 45.04.01, 45.04.02</t>
  </si>
  <si>
    <t>634061.04.01</t>
  </si>
  <si>
    <t>Имя прилагательное в языке рус.поэзии ХХ в.: Моногр. /А.Ф.Пантелеев-М.:ИЦ РИОР,НИЦ ИНФРА-М,2019-112с</t>
  </si>
  <si>
    <t>ИМЯ ПРИЛАГАТЕЛЬНОЕ В ЯЗЫКЕ РУССКОЙ ПОЭЗИИ ХХ ВЕКА</t>
  </si>
  <si>
    <t>978-5-369-01615-2</t>
  </si>
  <si>
    <t>488550.08.01</t>
  </si>
  <si>
    <t>Инженерно-геологический словарь / А.Д.Потапов - М.:НИЦ ИНФРА-М,2023 -336с.(Б-ка словарей ИНФРА-М)(п)</t>
  </si>
  <si>
    <t>ИНЖЕНЕРНО-ГЕОЛОГИЧЕСКИЙ СЛОВАРЬ</t>
  </si>
  <si>
    <t>Потапов А.Д., Ревелис И.Л., Чернышев С.Н.</t>
  </si>
  <si>
    <t>978-5-16-010692-2</t>
  </si>
  <si>
    <t>05.03.01, 05.04.01, 08.03.01, 08.04.01, 21.05.02, 21.05.03</t>
  </si>
  <si>
    <t>Национальный исследовательский Московский государственный строительный университет</t>
  </si>
  <si>
    <t>804517.02.01</t>
  </si>
  <si>
    <t>Инновации в проф. образовании: пробл., подходы..: Моногр. / Р.Р.Байгутлин - М.:НИЦ ИНФРА-М,2026. - 336 с.(п)</t>
  </si>
  <si>
    <t>ИННОВАЦИИ В ПРОФЕССИОНАЛЬНОМ ОБРАЗОВАНИИ: ПРОБЛЕМЫ, ПОДХОДЫ, ПЕДАГОГИЧЕСКИЕ ТЕХНОЛОГИИ</t>
  </si>
  <si>
    <t>978-5-16-018875-1</t>
  </si>
  <si>
    <t>44.04.01, 44.04.02, 44.06.01</t>
  </si>
  <si>
    <t>649556.09.01</t>
  </si>
  <si>
    <t>Инновационные модели проф. деят. педагог.: Моногр. / Под ред. Сергеевой В.П. - М.:НИЦ ИНФРА-М,2026 - 165с.(П)</t>
  </si>
  <si>
    <t>ИННОВАЦИОННЫЕ МОДЕЛИ ПРОФЕССИОНАЛЬНОЙ ДЕЯТЕЛЬНОСТИ ПЕДАГОГОВ В ОБРАЗОВАТЕЛЬНЫХ ОРГАНИЗАЦИЯХ В ЦЕЛЯХ СОЦИАЛИЗАЦИИ ДЕТЕЙ И МОЛОДЕЖИ</t>
  </si>
  <si>
    <t>Подымова Л.С., Сергеева В.П., Гайнуллова Ф.С. и др.</t>
  </si>
  <si>
    <t>978-5-16-012696-8</t>
  </si>
  <si>
    <t>44.03.01, 44.03.02, 44.03.05, 44.04.01, 44.04.02</t>
  </si>
  <si>
    <t>664265.12.01</t>
  </si>
  <si>
    <t>Инструкция по движ. поездов и маневровой работе на Ж/Д транспорте РФ - 2 изд. - М.:НИЦ ИНФРА-М,2026 - 337 с.(П)</t>
  </si>
  <si>
    <t>ИНСТРУКЦИЯ ПО ДВИЖЕНИЮ ПОЕЗДОВ И МАНЕВРОВОЙ РАБОТЕ НА ЖЕЛЕЗНОДОРОЖНОМ ТРАНСПОРТЕ РОССИЙСКОЙ ФЕДЕРАЦИИ, ИЗД.2</t>
  </si>
  <si>
    <t>978-5-16-018187-5</t>
  </si>
  <si>
    <t>Инструкция</t>
  </si>
  <si>
    <t>23.02.01, 23.05.04</t>
  </si>
  <si>
    <t>0223</t>
  </si>
  <si>
    <t>664265.07.01</t>
  </si>
  <si>
    <t>Инструкция по движению поездов и маневровой работе на Ж/Д транспорте РФ - М.:НИЦ ИНФРА-М,2022-271 с.(О)</t>
  </si>
  <si>
    <t>ИНСТРУКЦИЯ ПО ДВИЖЕНИЮ ПОЕЗДОВ И МАНЕВРОВОЙ РАБОТЕ НА ЖЕЛЕЗНОДОРОЖНОМ ТРАНСПОРТЕ РОССИЙСКОЙ ФЕДЕРАЦИИ</t>
  </si>
  <si>
    <t>978-5-16-013057-6</t>
  </si>
  <si>
    <t>662712.02.01</t>
  </si>
  <si>
    <t>Инструкция по обеспеч.безопас.движ.поездов при производстве... - М.:НИЦ ИНФРА-М,2019 - 208 с.(П)</t>
  </si>
  <si>
    <t>ИНСТРУКЦИЯ ПО ОБЕСПЕЧЕНИЮ БЕЗОПАСНОСТИ ДВИЖЕНИЯ ПОЕЗДОВ ПРИ ПРОИЗВОДСТВЕ ПУТЕВЫХ РАБОТ</t>
  </si>
  <si>
    <t>978-5-16-013041-5</t>
  </si>
  <si>
    <t>798232.01.01</t>
  </si>
  <si>
    <t>Инструкция по охране труда для электромеханика и... / Без автора-М.:НИЦ ИНФРА-М,2023.-138 с.(о)</t>
  </si>
  <si>
    <t>ИНСТРУКЦИЯ ПО ОХРАНЕ ТРУДА ДЛЯ ЭЛЕКТРОМЕХАНИКА И ЭЛЕКТРОМОНТЕРА ПРИ ТЕХНИЧЕСКОМ ОБСЛУЖИВАНИИ И РЕМОНТЕ УСТРОЙСТВ СИГНАЛИЗАЦИИ, ЦЕНТРАЛИЗАЦИИ И БЛОКИРО</t>
  </si>
  <si>
    <t>978-5-16-018189-9</t>
  </si>
  <si>
    <t>23.02.05, 23.02.06</t>
  </si>
  <si>
    <t>662908.11.01</t>
  </si>
  <si>
    <t>Инструкция по ремонту и обслуж. автосцепного устр. подвижн. состава  Ж/Д - М.:НИЦ ИНФРА-М,2026 - 96 с.(О)</t>
  </si>
  <si>
    <t>ИНСТРУКЦИЯ ПО РЕМОНТУ И ОБСЛУЖИВАНИЮ АВТОСЦЕПНОГО УСТРОЙСТВА ПОДВИЖНОГО СОСТАВА ЖЕЛЕЗНЫХ ДОРОГ</t>
  </si>
  <si>
    <t>978-5-16-013042-2</t>
  </si>
  <si>
    <t>23.05.03, 23.05.04, 23.05.05, 23.05.06</t>
  </si>
  <si>
    <t>795899.05.01</t>
  </si>
  <si>
    <t>Инструкция по сигнализации на ж/д транспорте РФ - М.:НИЦ ИНФРА-М,2026 - 130 с.:цв.ил.(п)</t>
  </si>
  <si>
    <t>ИНСТРУКЦИЯ ПО СИГНАЛИЗАЦИИ НА ЖЕЛЕЗНОДОРОЖНОМ ТРАНСПОРТЕ РФ</t>
  </si>
  <si>
    <t>978-5-16-018110-3</t>
  </si>
  <si>
    <t>662372.05.01</t>
  </si>
  <si>
    <t>Инструкция по текущему содержанию железнодорожного пути - 2 изд. - М.:НИЦ ИНФРА-М,2022 - 287 с.(П)</t>
  </si>
  <si>
    <t>ИНСТРУКЦИЯ ПО ТЕКУЩЕМУ СОДЕРЖАНИЮ ЖЕЛЕЗНОДОРОЖНОГО ПУТИ, ИЗД.2</t>
  </si>
  <si>
    <t>978-5-16-101625-1</t>
  </si>
  <si>
    <t>23.05.04</t>
  </si>
  <si>
    <t>662372.09.01</t>
  </si>
  <si>
    <t>Инструкция по текущему содержанию железнодорожного пути - 3 изд. - М.:НИЦ ИНФРА-М,2025. - 270 с.(п)</t>
  </si>
  <si>
    <t>ИНСТРУКЦИЯ ПО ТЕКУЩЕМУ СОДЕРЖАНИЮ ЖЕЛЕЗНОДОРОЖНОГО ПУТИ, ИЗД.3</t>
  </si>
  <si>
    <t>978-5-16-020586-1</t>
  </si>
  <si>
    <t>662372.03.01</t>
  </si>
  <si>
    <t>Инструкция по текущему содержанию железнодорожного пути -М.:НИЦ ИНФРА-М,2019.-287 с.(П) [12+]</t>
  </si>
  <si>
    <t>ИНСТРУКЦИЯ ПО ТЕКУЩЕМУ СОДЕРЖАНИЮ ЖЕЛЕЗНОДОРОЖНОГО ПУТИ</t>
  </si>
  <si>
    <t>978-5-16-013003-3</t>
  </si>
  <si>
    <t>376700.08.01</t>
  </si>
  <si>
    <t>Интеллектуальная собств.: эскизы общей теории: Моногр. / А.М.Орехов - М.:НИЦ ИНФРА-М,2025. - 160 с.(О)</t>
  </si>
  <si>
    <t>ИНТЕЛЛЕКТУАЛЬНАЯ СОБСТВЕННОСТЬ: ЭСКИЗЫ ОБЩЕЙ ТЕОРИИ</t>
  </si>
  <si>
    <t>Орехов А.М.</t>
  </si>
  <si>
    <t>978-5-16-010904-6</t>
  </si>
  <si>
    <t>06.03.02, 39.03.01, 39.04.01, 40.03.01, 40.04.01, 47.03.01, 47.04.01</t>
  </si>
  <si>
    <t>674330.03.01</t>
  </si>
  <si>
    <t>Интерпретация худ.текста: русско-исп. диалог: Моногр./ О.С.Чеснокова - М.:НИЦ ИНФРА-М,2022 - 174с(О)</t>
  </si>
  <si>
    <t>ИНТЕРПРЕТАЦИЯ ХУДОЖЕСТВЕННОГО ТЕКСТА: РУССКО-ИСПАНСКИЙ ДИАЛОГ</t>
  </si>
  <si>
    <t>Чеснокова О.С.</t>
  </si>
  <si>
    <t>978-5-16-013840-4</t>
  </si>
  <si>
    <t>41.03.06, 42.03.02, 44.03.01, 44.03.05, 45.03.01, 45.04.01, 45.05.01</t>
  </si>
  <si>
    <t>779237.02.01</t>
  </si>
  <si>
    <t>Иные мы: Монография / С.В.Борзых-М.:НИЦ ИНФРА-М,2024.-219 с.(Науч.мысль)(О)</t>
  </si>
  <si>
    <t>ИНЫЕ МЫ</t>
  </si>
  <si>
    <t>978-5-16-017741-0</t>
  </si>
  <si>
    <t>648375.07.01</t>
  </si>
  <si>
    <t>Искусство и методол. соц.-гуман. познания: Моногр. / Н.Ф.Бучило - М.:Юр.Норма,НИЦ ИНФРА-М,2025 - 240 с.(П)</t>
  </si>
  <si>
    <t>ИСКУССТВО И МЕТОДОЛОГИЯ СОЦИАЛЬНО-ГУМАНИТАРНОГО ПОЗНАНИЯ</t>
  </si>
  <si>
    <t>Бучило Н.Ф.</t>
  </si>
  <si>
    <t>978-5-91768-802-2</t>
  </si>
  <si>
    <t>46.04.03, 47.04.02, 50.03.01</t>
  </si>
  <si>
    <t>169800.07.01</t>
  </si>
  <si>
    <t>Искушение Европы. Исторические профили / Т.Д.Валовая - 2 изд. - М.: Магистр:  ИНФРА-М, 2024-576с. (п)</t>
  </si>
  <si>
    <t>ИСКУШЕНИЕ ЕВРОПЫ. ИСТОРИЧЕСКИЕ ПРОФИЛИ, ИЗД.2</t>
  </si>
  <si>
    <t>Валовая Т. Д.</t>
  </si>
  <si>
    <t>978-5-9776-0214-3</t>
  </si>
  <si>
    <t>41.03.01, 46.03.01, 46.04.01</t>
  </si>
  <si>
    <t>793849.02.01</t>
  </si>
  <si>
    <t>Исламские финансы: история и совр.: Моногр. / А.З.Нагимова - М.:НИЦ ИНФРА-М,2025. - 218 с.(Науч.мысль)(п)</t>
  </si>
  <si>
    <t>ИСЛАМСКИЕ ФИНАНСЫ: ИСТОРИЯ И СОВРЕМЕННОСТЬ</t>
  </si>
  <si>
    <t>Нагимова А.З.</t>
  </si>
  <si>
    <t>978-5-16-018196-7</t>
  </si>
  <si>
    <t>38.04.01, 38.06.01, 38.07.02</t>
  </si>
  <si>
    <t>Уфимский государственный нефтяной технический университет</t>
  </si>
  <si>
    <t>117950.07.01</t>
  </si>
  <si>
    <t>Исследовательские университеты США / Под ред. В.Б. Супяна - М.: Магистр, 2023 - 399 с. (п)</t>
  </si>
  <si>
    <t>ИССЛЕДОВАТЕЛЬСКИЕ УНИВЕРСИТЕТЫ США</t>
  </si>
  <si>
    <t>Супян В. Б.</t>
  </si>
  <si>
    <t>978-5-9776-0120-7</t>
  </si>
  <si>
    <t>44.03.01, 44.03.02, 44.04.01, 44.04.02, 44.04.04</t>
  </si>
  <si>
    <t>Институт США и Канады Российской академии наук</t>
  </si>
  <si>
    <t>734288.06.01</t>
  </si>
  <si>
    <t>Исследовательский интеллект, решающий педагогич. пробл. / А.В.Коржуев-М.:НИЦ ИНФРА-М,2024.-193 с.(О)</t>
  </si>
  <si>
    <t>ИССЛЕДОВАТЕЛЬСКИЙ ИНТЕЛЛЕКТ, РЕШАЮЩИЙ ПЕДАГОГИЧЕСКИЕ ПРОБЛЕМЫ</t>
  </si>
  <si>
    <t>Коржуев А.В., Никитина Э.К.</t>
  </si>
  <si>
    <t>978-5-16-016196-9</t>
  </si>
  <si>
    <t>Первый Московский государственный медицинский университет им. И.М. Сеченова</t>
  </si>
  <si>
    <t>778278.04.01</t>
  </si>
  <si>
    <t>Истоки и основы философии: курс лекций / Ф.А.Тригубенко - М.:НИЦ ИНФРА-М,2025. - 144 с.(ВО.)(О)</t>
  </si>
  <si>
    <t>ИСТОКИ И ОСНОВЫ ФИЛОСОФИИ</t>
  </si>
  <si>
    <t>Тригубенко Ф.А.</t>
  </si>
  <si>
    <t>Высшее образование</t>
  </si>
  <si>
    <t>978-5-16-017691-8</t>
  </si>
  <si>
    <t>00.03.11</t>
  </si>
  <si>
    <t>Российский университет транспорта (МИИТ)</t>
  </si>
  <si>
    <t>651840.03.01</t>
  </si>
  <si>
    <t>История  разв.форм  орг.уч.проц.в высш.шк.Китая(с н.ХХ в.до1960-х гг):/М.Ху-М.:НИЦ ИНФРА-М,2020-110с(П)</t>
  </si>
  <si>
    <t>ИСТОРИЯ  РАЗВИТИЯ  ФОРМ  ОРГАНИЗАЦИИ УЧЕБНОГО ПРОЦЕССА В ВЫСШЕЙ ШКОЛЕ  КИТАЯ  (С НАЧАЛА  ХХ В. ДО 1960-Х ГГ.)</t>
  </si>
  <si>
    <t>Ху М., Карнаух Н.В.</t>
  </si>
  <si>
    <t>978-5-16-012752-1</t>
  </si>
  <si>
    <t>39.04.02, 44.03.01, 44.03.02, 44.03.05, 44.04.01, 44.04.02, 51.03.02, 51.04.02</t>
  </si>
  <si>
    <t>768230.01.01</t>
  </si>
  <si>
    <t>История активной педагогики: Монография / В.Н.Кругликов.-М.:НИЦ ИНФРА-М,2022.-612 с.(Науч.мысль)(П)</t>
  </si>
  <si>
    <t>ИСТОРИЯ АКТИВНОЙ ПЕДАГОГИКИ</t>
  </si>
  <si>
    <t>Кругликов В.Н., Гулк Е.Б., Захаров К.П.</t>
  </si>
  <si>
    <t>978-5-16-017508-9</t>
  </si>
  <si>
    <t>44.03.01, 44.03.05</t>
  </si>
  <si>
    <t>776954.02.01</t>
  </si>
  <si>
    <t>История изуч. старообрядческого духовного стиха: Моногр. / Н.С.Мурашова-М.:НИЦ ИНФРА-М,2024.-176 с.(О)</t>
  </si>
  <si>
    <t>ИСТОРИЯ ИЗУЧЕНИЯ СТАРООБРЯДЧЕСКОГО ДУХОВНОГО СТИХА В КОНТЕКСТЕ ИССЛЕДОВАНИЯ ХУДОЖЕСТВЕННОЙ СИСТЕМЫ ВНЕБОГОСЛУЖЕБНОГО ДУХОВНОГО ПЕНИЯ</t>
  </si>
  <si>
    <t>Мурашова Н.С.</t>
  </si>
  <si>
    <t>978-5-16-017690-1</t>
  </si>
  <si>
    <t>45.03.01, 45.04.01, 48.03.01, 48.04.01, 51.04.01, 53.04.06, 53.05.05</t>
  </si>
  <si>
    <t>Новосибирский государственный педагогический университет</t>
  </si>
  <si>
    <t>845615.03.01</t>
  </si>
  <si>
    <t>История культуры: от Возрождения до модерна.../ Н.С.Креленко - М.:НИЦ ИНФРА-М,2026. - 320 с.[16+](п)</t>
  </si>
  <si>
    <t>ИСТОРИЯ КУЛЬТУРЫ: ОТ ВОЗРОЖДЕНИЯ ДО МОДЕРНА</t>
  </si>
  <si>
    <t>Креленко Н.С.</t>
  </si>
  <si>
    <t>978-5-16-020481-9</t>
  </si>
  <si>
    <t>51.03.01, 51.03.04, 52.02.04, 54.01.20</t>
  </si>
  <si>
    <t>Саратовский государственный университет им. Н.Г. Чернышевского</t>
  </si>
  <si>
    <t>654483.03.01</t>
  </si>
  <si>
    <t>История образования и педагог. мысли: В 3 т.Т.3..: Моногр. / А.Г Чернявский - НИЦ ИНФРА-М,2026-380с.(П)</t>
  </si>
  <si>
    <t>ИСТОРИЯ ОБРАЗОВАНИЯ И ПЕДАГОГИЧЕСКОЙ МЫСЛИ: В 3 ТОМАХ ТОМ 3: ПРАВОВОЕ РЕГУЛИРОВАНИЕ ГОСУДАРСТВЕННОГО КОНТРОЛЯ КАЧЕСТВА ОБРАЗОВАНИЯ, Т.3</t>
  </si>
  <si>
    <t>Чернявский А.Г., Пашенцев Д.А., Ладнушкина Н.М. и др.</t>
  </si>
  <si>
    <t>978-5-16-015407-7</t>
  </si>
  <si>
    <t>Военный Университет</t>
  </si>
  <si>
    <t>652734.06.01</t>
  </si>
  <si>
    <t>История образования и педагог. мысли: Т.1: Моногр. / А.Г.Чернявский - М.:НИЦ ИНФРА-М,2024 - 264 с.(П)</t>
  </si>
  <si>
    <t>ИСТОРИЯ ОБРАЗОВАНИЯ И ПЕДАГОГИЧЕСКОЙ МЫСЛИ, Т.1</t>
  </si>
  <si>
    <t>Чернявский А.Г., Грудцына Л.Ю., Пашенцев Д.А.</t>
  </si>
  <si>
    <t>978-5-16-012649-4</t>
  </si>
  <si>
    <t>44.03.01, 44.03.02, 44.03.03, 44.03.04, 44.03.05, 44.04.01, 44.04.02, 44.04.03, 44.04.04, 44.05.01</t>
  </si>
  <si>
    <t>654482.05.01</t>
  </si>
  <si>
    <t>История образования и педагогической мысли: Т.2: Моногр. / А.Г.Чернявский - М.:НИЦ ИНФРА-М,2026. - 243 с.(П)</t>
  </si>
  <si>
    <t>ИСТОРИЯ ОБРАЗОВАНИЯ И ПЕДАГОГИЧЕСКОЙ МЫСЛИ: ТОМ 2: ТЕОРИЯ, Т.2</t>
  </si>
  <si>
    <t>Чернявский А.Г., Пашенцев Д.А., Грудцына Л.Ю.</t>
  </si>
  <si>
    <t>978-5-16-013179-5</t>
  </si>
  <si>
    <t>682658.03.01</t>
  </si>
  <si>
    <t>История отеч. элитологической мысли: Энц. сл. / Под ред. Карабущенко П.Л.-М.:НИЦ ИНФРА-М,2024.-676 с. (п)</t>
  </si>
  <si>
    <t>ИСТОРИЯ ОТЕЧЕСТВЕННОЙ ЭЛИТОЛОГИЧЕСКОЙ МЫСЛИ</t>
  </si>
  <si>
    <t>Баранов Н.А., Баранов А.В., Бобылев В.В. и др.</t>
  </si>
  <si>
    <t>978-5-16-014656-0</t>
  </si>
  <si>
    <t>00.03.07, 41.04.04, 41.06.01</t>
  </si>
  <si>
    <t>155950.09.01</t>
  </si>
  <si>
    <t>История путешествий. Античная эпоха / И.Ю.Булкин - М.:Форум,2025 - 240 с.(П)</t>
  </si>
  <si>
    <t>ИСТОРИЯ ПУТЕШЕСТВИЙ. АНТИЧНАЯ ЭПОХА</t>
  </si>
  <si>
    <t>Булкин И. Ю.</t>
  </si>
  <si>
    <t>978-5-91134-528-0</t>
  </si>
  <si>
    <t>43.03.02, 43.04.02, 46.03.01, 46.04.01</t>
  </si>
  <si>
    <t>Саратовский государственный технический университет им. Гагарина Ю.А.</t>
  </si>
  <si>
    <t>846364.02.01</t>
  </si>
  <si>
    <t>История религий России: научно-популяр. изд. / А.Л.Панищев - М.:НИЦ ИНФРА-М,2025. - 175 с.[16+](п)</t>
  </si>
  <si>
    <t>ИСТОРИЯ РЕЛИГИЙ РОССИИ</t>
  </si>
  <si>
    <t>978-5-16-020495-6</t>
  </si>
  <si>
    <t>00.03.04, 00.03.11, 00.05.04, 00.05.11, 46.03.01, 47.03.01, 47.03.03</t>
  </si>
  <si>
    <t>846320.04.01</t>
  </si>
  <si>
    <t>История российского казачества: Научно-поп. изд. / Л.О.Терновая - М.:НИЦ ИНФРА-М,2026 - 333 с. [16+](п)</t>
  </si>
  <si>
    <t>ИСТОРИЯ РОССИЙСКОГО КАЗАЧЕСТВА</t>
  </si>
  <si>
    <t>Терновая Л.О.</t>
  </si>
  <si>
    <t>978-5-16-020492-5</t>
  </si>
  <si>
    <t>41.03.02, 44.03.01, 44.03.05, 46.03.01, 46.04.01</t>
  </si>
  <si>
    <t>Московский автомобильно-дорожный государственный технический университет</t>
  </si>
  <si>
    <t>808629.01.01</t>
  </si>
  <si>
    <t>История русского литературного языка...: Моногр./ Н.В.Халина - М.:НИЦ ИНФРА-М,2025. - 362 с.(Науч.мысль)(п)</t>
  </si>
  <si>
    <t>ИСТОРИЯ РУССКОГО ЛИТЕРАТУРНОГО ЯЗЫКА: ЯЗЫКОВОЕ СУЩЕСТВОВАНИЕ РОССИИ X-XXI ВЕКОВ</t>
  </si>
  <si>
    <t>Халина Н.В.</t>
  </si>
  <si>
    <t>978-5-16-018878-2</t>
  </si>
  <si>
    <t>45.04.01, 45.04.03, 45.06.01</t>
  </si>
  <si>
    <t>Алтайский государственный университет</t>
  </si>
  <si>
    <t>656163.11.01</t>
  </si>
  <si>
    <t>Киноискусство России: опыт позитивной антропологии: Моногр. / А.С.Брейтман - М.:НИЦ ИНФРА-М,2026. - 185 с.(о)</t>
  </si>
  <si>
    <t>КИНОИСКУССТВО РОССИИ: ОПЫТ ПОЗИТИВНОЙ АНТРОПОЛОГИИ</t>
  </si>
  <si>
    <t>Брейтман А.С.</t>
  </si>
  <si>
    <t>978-5-16-016748-0</t>
  </si>
  <si>
    <t>42.03.04, 51.03.05</t>
  </si>
  <si>
    <t>Дальневосточный государственный университет путей сообщения</t>
  </si>
  <si>
    <t>489100.06.01</t>
  </si>
  <si>
    <t>Классическая философия искусства. И. Кант: Моногр. / Н.Н.Никитина - М.:НИЦ ИНФРА-М,2026 - 242 с.(П)</t>
  </si>
  <si>
    <t>КЛАССИЧЕСКАЯ ФИЛОСОФИЯ ИСКУССТВА. И. КАНТ</t>
  </si>
  <si>
    <t>Никитина Н.Н.</t>
  </si>
  <si>
    <t>978-5-16-011751-5</t>
  </si>
  <si>
    <t>50.03.04, 50.04.04, 51.04.04</t>
  </si>
  <si>
    <t>Российский институт театрального искусства - ГИТИС</t>
  </si>
  <si>
    <t>643070.10.01</t>
  </si>
  <si>
    <t>Клиническая биохимия:курс лекций / В.Н.Титов - М.:НИЦ ИНФРА-М,2026 - 441 с.(Клиническая практика)(П)</t>
  </si>
  <si>
    <t>КЛИНИЧЕСКАЯ БИОХИМИЯ:КУРС ЛЕКЦИЙ</t>
  </si>
  <si>
    <t>Титов В.Н.</t>
  </si>
  <si>
    <t>Клиническая практика</t>
  </si>
  <si>
    <t>978-5-16-012430-8</t>
  </si>
  <si>
    <t>Профессиональное образование / ВО - Специалитет</t>
  </si>
  <si>
    <t>30.06.01, 30.07.01, 31.06.01, 31.07.01</t>
  </si>
  <si>
    <t>Российский кардиологический научно-производственный комплекс</t>
  </si>
  <si>
    <t>АКАДЕМУС-2017, Победитель</t>
  </si>
  <si>
    <t>658024.03.01</t>
  </si>
  <si>
    <t>Клиническая история хирургич. больного: Справ.пос./ В.И.Белоконев-М:Форум,НИЦ ИНФРА-М,2023-223с(ВО)(П)</t>
  </si>
  <si>
    <t>КЛИНИЧЕСКАЯ ИСТОРИЯ ХИРУРГИЧЕСКОГО БОЛЬНОГО</t>
  </si>
  <si>
    <t>Белоконев В.И., Мелентьева О.Н.</t>
  </si>
  <si>
    <t>Высшее образование: Специалитет</t>
  </si>
  <si>
    <t>978-5-00091-470-0</t>
  </si>
  <si>
    <t>31.05.01, 31.08.67</t>
  </si>
  <si>
    <t>Рекомендовано в качестве учебного пособия  для студентов высших учебных заведений, обучающихся по направлениям подготовки 31.05.01 «Лечебное дело» (квалификация «врач общей практики»); 31.08.67 «Хирургия» (квалификация «врач-хирург»)</t>
  </si>
  <si>
    <t>Самарский государственный медицинский университет</t>
  </si>
  <si>
    <t>808964.01.01</t>
  </si>
  <si>
    <t>КоАП РФ - М.:НИЦ ИНФРА-М,2025. - 716 с.(п)</t>
  </si>
  <si>
    <t>КОДЕКС РОССИЙСКОЙ ФЕДЕРАЦИИ ОБ АДМИНИСТРАТИВНЫХ ПРАВОНАРУШЕНИЯХ</t>
  </si>
  <si>
    <t>978-5-16-018820-1</t>
  </si>
  <si>
    <t>Федеральный закон</t>
  </si>
  <si>
    <t>10.05.04, 38.03.04, 38.05.01, 38.05.02, 40.02.02, 40.02.04, 40.03.01, 40.05.01, 40.05.02, 40.05.03, 40.05.04, 44.03.05, 46.03.02</t>
  </si>
  <si>
    <t>667389.05.01</t>
  </si>
  <si>
    <t>Когнитивная поэтика: предмет, терминол., методы: Моногр. / И.А.Тарасова - М.:НИЦ ИНФРА-М,2024-166 с.(Науч.мысль)(о)</t>
  </si>
  <si>
    <t>КОГНИТИВНАЯ ПОЭТИКА: ПРЕДМЕТ, ТЕРМИНОЛОГИЯ, МЕТОДЫ</t>
  </si>
  <si>
    <t>Тарасова И.А.</t>
  </si>
  <si>
    <t>978-5-16-018910-9</t>
  </si>
  <si>
    <t>733604.03.01</t>
  </si>
  <si>
    <t>Коммент. к главе 8 Кодекса РФ об адм. правонаруш. от 30.12.2001 г. / А.Ф. Ноздрачев - М.: НИЦ ИНФРА-М,2021-472с(П)</t>
  </si>
  <si>
    <t>КОММЕНТАРИЙ К ГЛАВЕ 8 КОДЕКСА РОССИЙСКОЙ ФЕДЕРАЦИИ ОБ АДМИНИСТРАТИВНЫХ ПРАВОНАРУШЕНИЯХ ОТ 30 ДЕКАБРЯ 2001 ГОДА № 195-ФЗ «АДМИНИСТРАТИВНЫЕ ПРАВОНАРУШЕНИЯ В СФЕРЕ ОХРАНЫ ОКРУЖАЮЩЕЙ СРЕДЫ И ПРИРОДОПОЛЬЗОВАНИЯ» (ПОСТАТЕЙНЫЙ)</t>
  </si>
  <si>
    <t>Ноздрачев А.Ф., Васильева М.И., Галиновская Е.А. и др.</t>
  </si>
  <si>
    <t>978-5-16-016077-1</t>
  </si>
  <si>
    <t>40.03.01, 40.04.01, 40.05.01, 40.05.02, 40.05.03, 40.05.04, 40.06.01</t>
  </si>
  <si>
    <t>095800.09.01</t>
  </si>
  <si>
    <t>Коммент. к ГПК РФ / В.В.Ярков,  - 5 изд. - М.:Юр.Норма, НИЦ ИНФРА-М,2026. -  928 с.(П)</t>
  </si>
  <si>
    <t>КОММЕНТАРИЙ К ГРАЖДАНСКОМУ ПРОЦЕССУАЛЬНОМУ КОДЕКСУ РОССИЙСКОЙ ФЕДЕРАЦИИ, ИЗД.5</t>
  </si>
  <si>
    <t>Ярков В.В.</t>
  </si>
  <si>
    <t>Комментарии "Нормы"</t>
  </si>
  <si>
    <t>978-5-00156-135-4</t>
  </si>
  <si>
    <t>40.02.04, 40.03.01, 40.04.01, 40.05.01, 40.05.02, 40.05.03, 40.05.04, 40.06.01</t>
  </si>
  <si>
    <t>Уральский государственный юридический университет имени В.Ф. Яковлева</t>
  </si>
  <si>
    <t>0521</t>
  </si>
  <si>
    <t>095800.03.01</t>
  </si>
  <si>
    <t>Коммент. к ГПК РФ / В.И. Нечаев и др. - 4 изд., перераб. и доп. - М.: Юр.Норма,НИЦ ИНФРА-М, 2014-816</t>
  </si>
  <si>
    <t>КОММЕНТАРИЙ К ГРАЖДАНСКОМУ ПРОЦЕССУАЛЬНОМУ КОДЕКСУ РОССИЙСКОЙ ФЕДЕРАЦИИ, ИЗД.4</t>
  </si>
  <si>
    <t>Нечаев В.И., Ярков В.В., Нечаев В.И.</t>
  </si>
  <si>
    <t>978-5-91768-418-5</t>
  </si>
  <si>
    <t>Московский государственный университет им. М.В. Ломоносова, высшая школа государственного аудита (факультет)</t>
  </si>
  <si>
    <t>0413</t>
  </si>
  <si>
    <t>121850.11.01</t>
  </si>
  <si>
    <t>Коммент. к Земельному кодексу РФ (пост.) / Е.С.Болтанова - 6 изд. -  М.:ИЦ РИОР, НИЦ ИНФРА-М,2025 - 510 с.(о)</t>
  </si>
  <si>
    <t>КОММЕНТАРИЙ К ЗЕМЕЛЬНОМУ КОДЕКСУ РОССИЙСКОЙ ФЕДЕРАЦИИ (ПОСТАТЕЙНЫЙ), ИЗД.6</t>
  </si>
  <si>
    <t>Болтанова Е.С.</t>
  </si>
  <si>
    <t>978-5-369-01988-7</t>
  </si>
  <si>
    <t>06.03.02, 40.03.01, 40.04.01</t>
  </si>
  <si>
    <t>Национальный исследовательский Томский государственный университет</t>
  </si>
  <si>
    <t>Апрель, 2025</t>
  </si>
  <si>
    <t>0625</t>
  </si>
  <si>
    <t>121850.02.01</t>
  </si>
  <si>
    <t>Коммент. к Земельному кодексу РФ (постат.) /Е.С.Болтанова - 2 изд. - РИОР: ИНФРА-М,2014-440с.(о) к/ф</t>
  </si>
  <si>
    <t>КОММЕНТАРИЙ К ЗЕМЕЛЬНОМУ КОДЕКСУ РОССИЙСКОЙ ФЕДЕРАЦИИ (ПОСТАТЕЙНЫЙ), ИЗД.2</t>
  </si>
  <si>
    <t>Болтанова Е.С.Женетль С. З.</t>
  </si>
  <si>
    <t>978-5-369-01274-1</t>
  </si>
  <si>
    <t>0214</t>
  </si>
  <si>
    <t>121850.10.01</t>
  </si>
  <si>
    <t>Коммент. к Земельному кодексу РФ (постат.)/ Е.С.Болтанова - 5 изд.-М.:ИЦ РИОР, НИЦ ИНФРА-М,2024.-487 с.(о)</t>
  </si>
  <si>
    <t>КОММЕНТАРИЙ К ЗЕМЕЛЬНОМУ КОДЕКСУ РОССИЙСКОЙ ФЕДЕРАЦИИ (ПОСТАТЕЙНЫЙ), ИЗД.5</t>
  </si>
  <si>
    <t>978-5-369-01947-4</t>
  </si>
  <si>
    <t>0524</t>
  </si>
  <si>
    <t>121850.09.01</t>
  </si>
  <si>
    <t>Коммент. к Земельному кодексу РФ(постат.) /Е.С.Болтанова - 4 изд. - М.:ИЦ РИОР,НИЦ ИНФРА-М,2023-477с(О)</t>
  </si>
  <si>
    <t>КОММЕНТАРИЙ К ЗЕМЕЛЬНОМУ КОДЕКСУ РОССИЙСКОЙ ФЕДЕРАЦИИ (ПОСТАТЕЙНЫЙ), ИЗД.4</t>
  </si>
  <si>
    <t>978-5-369-01882-8</t>
  </si>
  <si>
    <t>0422</t>
  </si>
  <si>
    <t>121850.06.01</t>
  </si>
  <si>
    <t>Коммент. к Земельному кодексу РФ(постат.) /Е.С.Болтанова- 3 изд.-М.:ИЦ РИОР,НИЦ ИНФРА-М,2019-412с(О)</t>
  </si>
  <si>
    <t>КОММЕНТАРИЙ К ЗЕМЕЛЬНОМУ КОДЕКСУ РОССИЙСКОЙ ФЕДЕРАЦИИ (ПОСТАТЕЙНЫЙ), ИЗД.3</t>
  </si>
  <si>
    <t>978-5-369-01691-6</t>
  </si>
  <si>
    <t>0317</t>
  </si>
  <si>
    <t>766769.06.01</t>
  </si>
  <si>
    <t>Коммент. к Конституции РФ (пост.): с учетом изм. на 1.07. 2020 г. / Под ред. Хабриевой Т.Я. - М.:НИЦ ИНФРА-М,2024 - 368 с.(П)</t>
  </si>
  <si>
    <t>КОММЕНТАРИЙ К КОНСТИТУЦИИ РОССИЙСКОЙ ФЕДЕРАЦИИ (ПОСТАТЕЙНЫЙ): С УЧЕТОМ ИЗМЕНЕНИЙ, ОДОБРЕННЫХ В ХОДЕ ОБЩЕРОССИЙСКОГО ГОЛОСОВАНИЯ 1 ИЮЛЯ 2020 ГОДА</t>
  </si>
  <si>
    <t>Хабриева Т.Я., Андриченко Л.В., Нанба С.Б. и др.</t>
  </si>
  <si>
    <t>978-5-16-017252-1</t>
  </si>
  <si>
    <t>Дополнительное образование / Дополнительное образование взрослых</t>
  </si>
  <si>
    <t>00.03.40, 38.03.04, 40.02.02, 40.02.04, 40.03.01, 40.04.01, 40.05.01, 40.05.02, 40.05.03, 40.05.04, 40.06.01</t>
  </si>
  <si>
    <t>078300.15.01</t>
  </si>
  <si>
    <t>Коммент. к Трудовому кодексу РФ (пост.) / Г.С.Скачкова, - 12 изд.-М.:ИЦ РИОР, НИЦ ИНФРА-М,2022.-686 с.(О)</t>
  </si>
  <si>
    <t>КОММЕНТАРИЙ К ТРУДОВОМУ КОДЕКСУ РОССИЙСКОЙ ФЕДЕРАЦИИ (ПОСТАТЕЙНЫЙ), ИЗД.12</t>
  </si>
  <si>
    <t>Скачкова Г.С.</t>
  </si>
  <si>
    <t>978-5-369-01911-5</t>
  </si>
  <si>
    <t>38.03.01, 38.03.03, 38.03.04, 40.02.02, 40.02.04, 40.03.01, 40.04.01, 41.03.06, 44.03.05, 46.03.02</t>
  </si>
  <si>
    <t>1222</t>
  </si>
  <si>
    <t>078300.18.01</t>
  </si>
  <si>
    <t>Коммент. к Трудовому кодексу РФ (пост.)/ Г.С.Скачкова, - 13 изд.-М.:ИЦ РИОР, НИЦ ИНФРА-М,2023.-749 с.(о)</t>
  </si>
  <si>
    <t>КОММЕНТАРИЙ К ТРУДОВОМУ КОДЕКСУ РОССИЙСКОЙ ФЕДЕРАЦИИ (ПОСТАТЕЙНЫЙ), ИЗД.13</t>
  </si>
  <si>
    <t>978-5-369-01930-6</t>
  </si>
  <si>
    <t>1323</t>
  </si>
  <si>
    <t>078300.13.01</t>
  </si>
  <si>
    <t>Коммент. к Трудовому кодексу РФ (пост.): коммент. / Г.С.Скачкова, - 10 изд.-М.:ИЦ РИОР, НИЦ ИНФРА-М,2020.-580 с.(О)</t>
  </si>
  <si>
    <t>КОММЕНТАРИЙ К ТРУДОВОМУ КОДЕКСУ РОССИЙСКОЙ ФЕДЕРАЦИИ (ПОСТАТЕЙНЫЙ), ИЗД.10</t>
  </si>
  <si>
    <t>978-5-369-01847-7</t>
  </si>
  <si>
    <t>1020</t>
  </si>
  <si>
    <t>078300.14.01</t>
  </si>
  <si>
    <t>Коммент. к Трудовому кодексу РФ (пост.): коммент. / Г.С.Скачкова, - 11 изд.-М.:ИЦ РИОР, НИЦ ИНФРА-М,2021.-605 с.(О)</t>
  </si>
  <si>
    <t>КОММЕНТАРИЙ К ТРУДОВОМУ КОДЕКСУ РОССИЙСКОЙ ФЕДЕРАЦИИ (ПОСТАТЕЙНЫЙ), ИЗД.11</t>
  </si>
  <si>
    <t>978-5-369-01866-8</t>
  </si>
  <si>
    <t>1121</t>
  </si>
  <si>
    <t>078300.11.01</t>
  </si>
  <si>
    <t>Коммент. к Трудовому кодексу РФ (постат.) / Г.С.Скачкова - 9 изд.-М.:ИЦ РИОР, НИЦ ИНФРА-М,2019-566с(О)</t>
  </si>
  <si>
    <t>КОММЕНТАРИЙ К ТРУДОВОМУ КОДЕКСУ РОССИЙСКОЙ ФЕДЕРАЦИИ (ПОСТАТЕЙНЫЙ), ИЗД.9</t>
  </si>
  <si>
    <t>978-5-369-01799-9</t>
  </si>
  <si>
    <t>0919</t>
  </si>
  <si>
    <t>078300.19.01</t>
  </si>
  <si>
    <t>Коммент. к Трудовому кодексу РФ(пост.) / Г.С.Скачкова, - 14 изд. - М.:ИЦ РИОР, НИЦ ИНФРА-М,2024 - 776 с.(о)</t>
  </si>
  <si>
    <t>КОММЕНТАРИЙ К ТРУДОВОМУ КОДЕКСУ РОССИЙСКОЙ ФЕДЕРАЦИИ (ПОСТАТЕЙНЫЙ), ИЗД.14</t>
  </si>
  <si>
    <t>978-5-369-01964-1</t>
  </si>
  <si>
    <t>1424</t>
  </si>
  <si>
    <t>078300.08.01</t>
  </si>
  <si>
    <t>Коммент. к Трудовому кодексу РФ(постат.) /Г.С.Скачкова -7 изд. - М.:ИЦ РИОР,НИЦ ИНФРА-М,2017-538с(О)</t>
  </si>
  <si>
    <t>КОММЕНТАРИЙ К ТРУДОВОМУ КОДЕКСУ РОССИЙСКОЙ ФЕДЕРАЦИИ (ПОСТАТЕЙНЫЙ), ИЗД.7</t>
  </si>
  <si>
    <t>978-5-369-01633-6</t>
  </si>
  <si>
    <t>0717</t>
  </si>
  <si>
    <t>078300.09.01</t>
  </si>
  <si>
    <t>Коммент. к Трудовому кодексу РФ(постат.) /Г.С.Скачкова -8 изд. - М.:ИЦ РИОР,НИЦ ИНФРА-М,2018-538с(О)</t>
  </si>
  <si>
    <t>КОММЕНТАРИЙ К ТРУДОВОМУ КОДЕКСУ РОССИЙСКОЙ ФЕДЕРАЦИИ (ПОСТАТЕЙНЫЙ), ИЗД.8</t>
  </si>
  <si>
    <t>978-5-369-01777-7</t>
  </si>
  <si>
    <t>0818</t>
  </si>
  <si>
    <t>104450.02.01</t>
  </si>
  <si>
    <t>Коммент. к ФЗ "Об исполнительном производстве" / Под ред. В.В. Яркова. - НОРМА, 2014. - 656 с.</t>
  </si>
  <si>
    <t>КОММЕНТАРИЙ К ФЕДЕРАЛЬНОМУ ЗАКОНУ "ОБ ИСПОЛНИТЕЛЬНОМ ПРОИЗВОДСТВЕ", ИЗД.2</t>
  </si>
  <si>
    <t>978-5-91768-501-4</t>
  </si>
  <si>
    <t>37.05.02, 40.02.02, 40.02.04, 40.03.01, 40.04.01, 40.05.01, 40.05.02, 40.05.04</t>
  </si>
  <si>
    <t>104450.06.01</t>
  </si>
  <si>
    <t>Коммент. к ФЗ "Об исполнительном производстве" / Под ред. В.В. Яркова. - НОРМА, 2025 -752 с.(П)</t>
  </si>
  <si>
    <t>КОММЕНТАРИЙ К ФЕДЕРАЛЬНОМУ ЗАКОНУ "ОБ ИСПОЛНИТЕЛЬНОМ ПРОИЗВОДСТВЕ", ИЗД.3</t>
  </si>
  <si>
    <t>Абушенко Д.Б., Зипунникова Ю.Н., Загайнова С.К. и др.</t>
  </si>
  <si>
    <t>978-5-00156-241-2</t>
  </si>
  <si>
    <t>0322</t>
  </si>
  <si>
    <t>130200.06.01</t>
  </si>
  <si>
    <t>Коммент. к ФЗ "Об общих принципах орг... / Под ред.Бабичева И.В.- 3 изд - Юр.Норма,НИЦ ИНФРА-М,2024-752с(П)</t>
  </si>
  <si>
    <t>КОММЕНТАРИЙ К ФЕДЕРАЛЬНОМУ ЗАКОНУ "ОБ ОБЩИХ ПРИНЦИПАХ ОРГАНИЗАЦИИ МЕСТНОГО САМОУПРАВЛЕНИЯ В РОССИЙСКОЙ ФЕДЕРАЦИИ", ИЗД.3</t>
  </si>
  <si>
    <t>Бабичев И. В., Шугрина Е. С.</t>
  </si>
  <si>
    <t>978-5-00156-166-8</t>
  </si>
  <si>
    <t>0321</t>
  </si>
  <si>
    <t>130200.03.01</t>
  </si>
  <si>
    <t>Коммент. к ФЗ "Об общих принципах орг... / Под ред.Бабичева И.В.-2изд-Юр.Норма,НИЦ ИНФРА-М,2015-672с</t>
  </si>
  <si>
    <t>КОММЕНТАРИЙ К ФЕДЕРАЛЬНОМУ ЗАКОНУ "ОБ ОБЩИХ ПРИНЦИПАХ ОРГАНИЗАЦИИ МЕСТНОГО САМОУПРАВЛЕНИЯ В РОССИЙСКОЙ ФЕДЕРАЦИИ", ИЗД.2</t>
  </si>
  <si>
    <t>Переплет</t>
  </si>
  <si>
    <t>978-5-91768-633-2</t>
  </si>
  <si>
    <t>768618.09.01</t>
  </si>
  <si>
    <t>Коммент. к ФЗ "Об оперативно-розыск. деят." / Овчинский В.С. - М.:Юр.Норма, НИЦ ИНФРА-М,2026. - 488 с.(П)</t>
  </si>
  <si>
    <t>КОММЕНТАРИЙ К ФЕДЕРАЛЬНОМУ ЗАКОНУ "ОБ ОПЕРАТИВНО-РОЗЫСКНОЙ ДЕЯТЕЛЬНОСТИ"</t>
  </si>
  <si>
    <t>Овчинский В.С., Вагин О.А., Гаврилов Б.Я. и др.</t>
  </si>
  <si>
    <t>978-5-00156-213-9</t>
  </si>
  <si>
    <t>40.02.02, 40.03.01, 40.04.01, 40.05.01, 40.05.02, 40.05.03</t>
  </si>
  <si>
    <t>679405.02.01</t>
  </si>
  <si>
    <t>Коммент. к ФЗ от 01.05.2016 № 119-ФЗ «Об особ.. / Е.А.Галиновская-М.:НИЦ ИНФРА-М, ИЗиСП,2019-120с(О)</t>
  </si>
  <si>
    <t>КОММЕНТАРИЙ К ФЕДЕРАЛЬНОМУ ЗАКОНУ ОТ 01.05.2016 № 119-ФЗ «ОБ ОСОБЕННОСТЯХ ПРЕДОСТАВЛЕНИЯ ГРАЖДАНАМ ЗЕМЕЛЬНЫХ УЧАСТКОВ,НАХОДЯЩИХСЯ В ГОСУДАРСТВЕННОЙ ИЛИ МУНИЦИПАЛЬНОЙ СОБСТВЕННОСТИ И РАСПОЛОЖЕННЫХ НА ТЕРРИТОРИЯХ СУБЪЕКТОВ РОССИЙСКОЙ ФЕДЕРАЦИИ,ВХОДЯЩИХ В СОСТАВ ДАЛЬНЕВОСТОЧНОГО ФЕДЕРАЛЬНОГО ОКРУГА,</t>
  </si>
  <si>
    <t>Галиновская Е.А., Жариков Ю.Г., Ковалева Е.Л. и др.</t>
  </si>
  <si>
    <t>978-5-16-013701-8</t>
  </si>
  <si>
    <t>656575.04.01</t>
  </si>
  <si>
    <t>Коммент. практики рассмотрения экон.споров (судебно-арбитр.практики): Вып.22 / А.В.Алтухов-М.:НИЦ ИНФРА-М,2021-212c(О)</t>
  </si>
  <si>
    <t>КОММЕНТАРИЙ ПРАКТИКИ РАССМОТРЕНИЯ ЭКОНОМИЧЕСКИХ СПОРОВ (СУДЕБНО-АРБИТРАЖНОЙ ПРАКТИКИ). ВЫП. 22</t>
  </si>
  <si>
    <t>Алтухов А.В., Беляева О.А., Бортникова Н.А. и др.</t>
  </si>
  <si>
    <t>978-5-16-012786-6</t>
  </si>
  <si>
    <t>40.03.01</t>
  </si>
  <si>
    <t>Академия права и управления Федеральной службы исполнения наказаний</t>
  </si>
  <si>
    <t>633946.04.01</t>
  </si>
  <si>
    <t>Коммент. судебной практики: Вып. 21 / Отв. ред. К.Б.Ярошенко - М.:НИЦ ИНФРА-М,2019-184 с.(ИЗиСП)(О)</t>
  </si>
  <si>
    <t>КОММЕНТАРИЙ СУДЕБНОЙ ПРАКТИКИ</t>
  </si>
  <si>
    <t>Ярошенко К.Б.</t>
  </si>
  <si>
    <t>978-5-16-012087-4</t>
  </si>
  <si>
    <t>38.03.01, 38.03.03, 38.03.04, 40.03.01, 40.05.03, 41.03.06, 44.03.05, 46.03.02</t>
  </si>
  <si>
    <t>672162.05.01</t>
  </si>
  <si>
    <t>Комплексное медико-псих.-педаг. сопров.лиц...: Моногр./В.Г.Гончарова-М.:НИЦ ИНФРА-М,СФУ,2024-248с(о)</t>
  </si>
  <si>
    <t>КОМПЛЕКСНОЕ МЕДИКО-ПСИХОЛОГО-ПЕДАГОГИЧЕСКОЕ СОПРОВОЖДЕНИЕ ЛИЦ С ОГРАНИЧЕННЫМИ ВОЗМОЖНОСТЯМИ ЗДОРОВЬЯ В УСЛОВИЯХ НЕПРЕРЫВНОГО ИНКЛЮЗИВНОГО ОБРАЗОВАНИЯ</t>
  </si>
  <si>
    <t>Гончарова В.Г., Подопригора В.Г., Гончарова С.И.</t>
  </si>
  <si>
    <t>Научная мысль (СФУ)</t>
  </si>
  <si>
    <t>978-5-16-018908-6</t>
  </si>
  <si>
    <t>44.04.02, 44.04.03, 44.06.01</t>
  </si>
  <si>
    <t>Сибирский федеральный университет</t>
  </si>
  <si>
    <t>670769.07.01</t>
  </si>
  <si>
    <t>Конкурентное право: глоссарий понятий / П.В.Самолысов-М.:Юр.Норма, НИЦ ИНФРА-М,2024.-144 с.(О)</t>
  </si>
  <si>
    <t>КОНКУРЕНТНОЕ ПРАВО: ГЛОССАРИЙ ПОНЯТИЙ</t>
  </si>
  <si>
    <t>Самолысов П.В.</t>
  </si>
  <si>
    <t>978-5-91768-875-6</t>
  </si>
  <si>
    <t>Академия управления Министерства внутренних дел Российской Федерации</t>
  </si>
  <si>
    <t>760130.01.01</t>
  </si>
  <si>
    <t>Конституционный Суд РФ. Решения. 2020: Сб. док./ Отв.ред. Маврин С.П.-М.:Юр.Норма, НИЦ ИНФРА-М,2021.-1120 с.(П)</t>
  </si>
  <si>
    <t>КОНСТИТУЦИОННЫЙ СУД РОССИЙСКОЙ ФЕДЕРАЦИИ. РЕШЕНИЯ. 2020</t>
  </si>
  <si>
    <t>Маврин С.П.</t>
  </si>
  <si>
    <t>Переплет 7</t>
  </si>
  <si>
    <t>978-5-00156-184-2</t>
  </si>
  <si>
    <t>40.03.01, 40.04.01, 40.06.01</t>
  </si>
  <si>
    <t>781248.01.01</t>
  </si>
  <si>
    <t>Конституционный Суд РФ. Решения. 2021: Сб. документов-М.:Юр. НОРМА,2022.-1168 с.(П)</t>
  </si>
  <si>
    <t>КОНСТИТУЦИОННЫЙ СУД РФ. РЕШЕНИЯ. 2021</t>
  </si>
  <si>
    <t>978-5-00156-233-7</t>
  </si>
  <si>
    <t>40.03.01, 40.04.01, 40.05.01, 40.05.02, 40.05.04, 40.06.01</t>
  </si>
  <si>
    <t>806115.01.01</t>
  </si>
  <si>
    <t>Конституционный Суд РФ. Решения. 2022: Сб. документов - М.:Юр. НОРМА,2023.-1216 с.(п)</t>
  </si>
  <si>
    <t>КОНСТИТУЦИОННЫЙ СУД РОССИЙСКОЙ ФЕДЕРАЦИИ. РЕШЕНИЯ. 2022</t>
  </si>
  <si>
    <t>978-5-00156-307-5</t>
  </si>
  <si>
    <t>38.05.01, 40.05.01, 40.05.02, 40.05.03, 40.05.04, 40.06.01</t>
  </si>
  <si>
    <t>036540.30.01</t>
  </si>
  <si>
    <t>Конституция РФ - М.:НИЦ ИНФРА-М,2026 - 70 с.(о)</t>
  </si>
  <si>
    <t>КОНСТИТУЦИЯ РОССИЙСКОЙ ФЕДЕРАЦИИ</t>
  </si>
  <si>
    <t>978-5-16-016390-1</t>
  </si>
  <si>
    <t>38.03.04, 40.02.02, 40.02.04, 40.03.01, 40.04.01, 40.05.01, 40.05.02, 40.05.03, 44.03.05</t>
  </si>
  <si>
    <t>0102</t>
  </si>
  <si>
    <t>024981.22.01</t>
  </si>
  <si>
    <t>Конституция РФ с коммент. Конституционного Суда РФ - 10 изд. - М.:НИЦ ИНФРА-М,2020 - 206 с.(О)</t>
  </si>
  <si>
    <t>КОНСТИТУЦИЯ РОССИЙСКОЙ ФЕДЕРАЦИИ С КОММЕНТАРИЯМИ КОНСТИТУЦИОННОГО СУДА РФ, ИЗД.10</t>
  </si>
  <si>
    <t>978-5-16-011212-1</t>
  </si>
  <si>
    <t>1016</t>
  </si>
  <si>
    <t>024981.24.01</t>
  </si>
  <si>
    <t>Конституция РФ с коммент. Конституционного Суда РФ - 11 изд. - М.:НИЦ ИНФРА-М,2022 - 256 с.(О)</t>
  </si>
  <si>
    <t>КОНСТИТУЦИЯ РОССИЙСКОЙ ФЕДЕРАЦИИ С КОММЕНТАРИЯМИ КОНСТИТУЦИОННОГО СУДА РФ, ИЗД.11</t>
  </si>
  <si>
    <t>978-5-16-016391-8</t>
  </si>
  <si>
    <t>024981.28.01</t>
  </si>
  <si>
    <t>Конституция РФ с коммент. Конституционного Суда РФ - 12 изд. - М.:НИЦ ИНФРА-М,2025 - 256 с.(О)</t>
  </si>
  <si>
    <t>КОНСТИТУЦИЯ РОССИЙСКОЙ ФЕДЕРАЦИИ С КОММЕНТАРИЯМИ КОНСТИТУЦИОННОГО СУДА РФ, ИЗД.12</t>
  </si>
  <si>
    <t>978-5-16-018169-1</t>
  </si>
  <si>
    <t>1223</t>
  </si>
  <si>
    <t>753345.07.01</t>
  </si>
  <si>
    <t>Конституция РФ. Офиц. текст / Вступ. статья Т.Я.Хабриевой - М.:Юр.Норма, НИЦ ИНФРА-М,2026 - 136 с.(П.к/ф)</t>
  </si>
  <si>
    <t>КОНСТИТУЦИЯ РОССИЙСКОЙ ФЕДЕРАЦИИ. ОФИЦИАЛЬНЫЙ ТЕКСТ.ВСТУПИТЕЛЬНАЯ СТАТЬЯ Т.Я.ХАБРИЕВОЙ</t>
  </si>
  <si>
    <t>978-5-00156-160-6</t>
  </si>
  <si>
    <t>00.02.08, 00.03.08, 00.05.08, 40.03.01</t>
  </si>
  <si>
    <t>823053.01.01</t>
  </si>
  <si>
    <t>Конституция РФ.ФКС "О Государственном флаге РФ-М.:Юр. НОРМА, НИЦ ИНФРА-М,2024.-160с.(п.к/ф)</t>
  </si>
  <si>
    <t>КОНСТИТУЦИЯ РОССИЙСКОЙ ФЕДЕРАЦИИ.ОФИЦИАЛЬНЫЙ ТЕКСТ С ИЗМЕНЕНИЯМИ. ФЕДЕРАЛЬНЫЕ КОНСТИТУЦИОННЫЕ ЗАКОНЫ "О ГОСУДАРСТВЕННОМ ФЛАГЕ РОССИЙСКОЙ ФЕДЕРАЦИИ", "</t>
  </si>
  <si>
    <t>978-5-00156-358-7</t>
  </si>
  <si>
    <t>40.02.02, 40.03.01, 40.05.01, 40.05.02, 40.05.03, 40.05.04, 44.03.05</t>
  </si>
  <si>
    <t>742031.07.01</t>
  </si>
  <si>
    <t>Конституция РФ: Официальный текст - М.:Юр.Норма, НИЦ ИНФРА-М,2023 - 120 с.(О)</t>
  </si>
  <si>
    <t>КОНСТИТУЦИЯ РФ: ОФИЦИАЛЬНЫЙ ТЕКСТ</t>
  </si>
  <si>
    <t>978-5-00156-095-1</t>
  </si>
  <si>
    <t>38.03.04, 40.02.02, 40.02.04, 40.03.01, 40.04.01, 40.05.01, 40.05.02, 40.05.03, 40.05.04</t>
  </si>
  <si>
    <t>848698.01.01</t>
  </si>
  <si>
    <t>Контакты иных степеней: Моногр. / С.В.Борзых - М.:НИЦ ИНФРА-М,2025. - 166 с.-(Науч.мысль)(о)</t>
  </si>
  <si>
    <t>КОНТАКТЫ ИНЫХ СТЕПЕНЕЙ</t>
  </si>
  <si>
    <t>978-5-16-020637-0</t>
  </si>
  <si>
    <t>646394.05.01</t>
  </si>
  <si>
    <t>Концептуализации общ. в соц. философской..: Моногр. / К.Х.Момджян. - М.:НИЦ ИНФРА-М,2025 - 350 с.(П)</t>
  </si>
  <si>
    <t>КОНЦЕПТУАЛИЗАЦИИ ОБЩЕСТВА В СОЦИАЛЬНОЙ ФИЛОСОФСКОЙ И ФИЛОСОФСКО-ИСТОРИЧЕСКОЙ РЕФЛЕКСИИ</t>
  </si>
  <si>
    <t>Момджян К.Х., Антоновский А.Ю., Семенов Ю.И. и др.</t>
  </si>
  <si>
    <t>978-5-16-020588-5</t>
  </si>
  <si>
    <t>39.04.01, 47.03.01</t>
  </si>
  <si>
    <t>Московский государственный университет им. М.В. Ломоносова, философский факультет</t>
  </si>
  <si>
    <t>221400.10.01</t>
  </si>
  <si>
    <t>Концепция глобализации: Моногр. / С.В.Борзых - М.:НИЦ ИНФРА-М,2026. - 128 с.(Науч.мысль)(о)</t>
  </si>
  <si>
    <t>КОНЦЕПЦИЯ ГЛОБАЛИЗАЦИИ</t>
  </si>
  <si>
    <t>978-5-16-008971-3</t>
  </si>
  <si>
    <t>777628.04.01</t>
  </si>
  <si>
    <t>Концепция семьи в творчестве И.С.Тургенева..: Моногр. / М.А.Курбакова - М.:НИЦ ИНФРА-М,2025. - 217 с.(о)</t>
  </si>
  <si>
    <t>КОНЦЕПЦИЯ СЕМЬИ В ТВОРЧЕСТВЕ И.С.ТУРГЕНЕВА . СЕМЬЯНИН ИЛИ СТРАННИК?</t>
  </si>
  <si>
    <t>Курбакова М.А.</t>
  </si>
  <si>
    <t>978-5-16-017745-8</t>
  </si>
  <si>
    <t>44.03.05, 44.04.01, 45.04.01, 45.06.01</t>
  </si>
  <si>
    <t>Московский политехнический университет</t>
  </si>
  <si>
    <t>АКАДЕМУС-2021, Победитель, III место</t>
  </si>
  <si>
    <t>656872.09.01</t>
  </si>
  <si>
    <t>Корабельный устав Военно-Морского Флота РФ - 2 изд. - М.:НИЦ ИНФРА-М,2025. - 271 с.(П)</t>
  </si>
  <si>
    <t>КОРАБЕЛЬНЫЙ УСТАВ ВОЕННО-МОРСКОГО ФЛОТА РФ, ИЗД.2</t>
  </si>
  <si>
    <t>978-5-16-017985-8</t>
  </si>
  <si>
    <t>Профессиональное обучение</t>
  </si>
  <si>
    <t>26.02.03, 26.02.04, 26.02.05, 26.02.06, 26.03.01, 26.05.05, 26.05.06, 26.05.07, 56.05.04</t>
  </si>
  <si>
    <t>Утвержден Указом Президента Российской Федерации от 31 июля 2022 года № 511</t>
  </si>
  <si>
    <t>656872.04.01</t>
  </si>
  <si>
    <t>Корабельный устав Военно-Морского Флота РФ - М.:НИЦ ИНФРА-М,2021 - 462 с.(П)</t>
  </si>
  <si>
    <t>КОРАБЕЛЬНЫЙ УСТАВ ВОЕННО-МОРСКОГО ФЛОТА РФ</t>
  </si>
  <si>
    <t>978-5-16-012795-8</t>
  </si>
  <si>
    <t>Введен в действие приказом Главнокомандующего Военно-Морским Флотом от 1 сентября 2001 года № 350</t>
  </si>
  <si>
    <t>820861.01.01</t>
  </si>
  <si>
    <t>Коррекция наруш. слоговой структуры слова у детей старшего дош... / А.Г.Биба - М.:НИЦ ИНФРА-М,2025. - 168 с.(П)</t>
  </si>
  <si>
    <t>КОРРЕКЦИЯ НАРУШЕНИЯ СЛОГОВОЙ СТРУКТУРЫ СЛОВА У ДЕТЕЙ СТАРШЕГО ДОШКОЛЬНОГО ВОЗРАСТА С ДИЗАРТРИЕЙ</t>
  </si>
  <si>
    <t>Биба А.Г., Иванович Е.И.</t>
  </si>
  <si>
    <t>978-5-16-019706-7</t>
  </si>
  <si>
    <t>44.03.03, 44.04.03</t>
  </si>
  <si>
    <t>708109.07.01</t>
  </si>
  <si>
    <t>Коррупция в России XXI в.: неформальные термины.../ П.А.Скобликов - М.:Юр.Норма, НИЦ ИНФРА-М,2025-168с(п)</t>
  </si>
  <si>
    <t>КОРРУПЦИЯ В РОССИИ XXI ВЕКА: НЕФОРМАЛЬНЫЕ ТЕРМИНЫ И ПОНЯТИЯ</t>
  </si>
  <si>
    <t>Скобликов П.А.</t>
  </si>
  <si>
    <t>978-5-91768-795-7</t>
  </si>
  <si>
    <t>021917.19.01</t>
  </si>
  <si>
    <t>Краткий словарь по социологии / П.Д.Павленок - 2 изд. - М.:НИЦ ИНФРА-М,2024 - 254 с.(О)</t>
  </si>
  <si>
    <t>КРАТКИЙ СЛОВАРЬ ПО СОЦИОЛОГИИ, ИЗД.2</t>
  </si>
  <si>
    <t>Павленок П.Д.</t>
  </si>
  <si>
    <t>Библиотека малых словарей "ИНФРА-М"</t>
  </si>
  <si>
    <t>978-5-16-009912-5</t>
  </si>
  <si>
    <t>00.03.10, 00.05.10, 39.03.01, 39.03.02, 39.03.03, 39.04.01, 39.04.02, 39.04.03</t>
  </si>
  <si>
    <t>641138.15.01</t>
  </si>
  <si>
    <t>Краткий словарь русского жестового языка: Сл. / С.Г.Ватага - М.:НИЦ ИНФРА-М,2026-206 с.(О)</t>
  </si>
  <si>
    <t>КРАТКИЙ СЛОВАРЬ РУССКОГО ЖЕСТОВОГО ЯЗЫКА</t>
  </si>
  <si>
    <t>Ватага С.Г.</t>
  </si>
  <si>
    <t>978-5-16-012330-1</t>
  </si>
  <si>
    <t>44.02.04, 44.03.01, 44.03.02, 44.03.03, 44.04.01, 44.04.02, 44.04.03, 44.04.04, 44.05.01</t>
  </si>
  <si>
    <t>Всероссийское общество глухих</t>
  </si>
  <si>
    <t>022550.21.01</t>
  </si>
  <si>
    <t>Краткий словарь экономиста: Сл. / Н.Л.Зайцев - 4 изд. - М.:НИЦ ИНФРА-М,2025 - 224 с-(Б-ка малых сл."ИНФРА-М")</t>
  </si>
  <si>
    <t>КРАТКИЙ СЛОВАРЬ ЭКОНОМИСТА, ИЗД.4</t>
  </si>
  <si>
    <t>Зайцев Н. Л.</t>
  </si>
  <si>
    <t>978-5-16-002779-1</t>
  </si>
  <si>
    <t>38.03.01, 38.03.02, 38.04.01, 38.05.01, 38.06.01</t>
  </si>
  <si>
    <t>0407</t>
  </si>
  <si>
    <t>668595.03.01</t>
  </si>
  <si>
    <t>Кризисное сознание в контексте глобал.процес.: Моногр./Л.Д.Рассказов-М.:НИЦ ИНФРА-М,СФУ,2023-179с(П)</t>
  </si>
  <si>
    <t>КРИЗИСНОЕ СОЗНАНИЕ В КОНТЕКСТЕ ГЛОБАЛИЗАЦИОННЫХ ПРОЦЕССОВ</t>
  </si>
  <si>
    <t>Рассказов Л.Д.</t>
  </si>
  <si>
    <t>978-5-16-013299-0</t>
  </si>
  <si>
    <t>693082.02.01</t>
  </si>
  <si>
    <t>Критерии истины: Монография / С.В.Борзых - М.:НИЦ ИНФРА-М,2023.-193 с..-(Науч.мысль)(О)</t>
  </si>
  <si>
    <t>КРИТЕРИИ ИСТИНЫ</t>
  </si>
  <si>
    <t>978-5-16-014512-9</t>
  </si>
  <si>
    <t>681311.03.01</t>
  </si>
  <si>
    <t>Критика аксиологического разума: Монография / С.Е.Ячин - М.:НИЦ ИНФРА-М,2022 - 137 с.(Науч.мысль)(О)</t>
  </si>
  <si>
    <t>КРИТИКА АКСИОЛОГИЧЕСКОГО РАЗУМА</t>
  </si>
  <si>
    <t>978-5-16-013814-5</t>
  </si>
  <si>
    <t>40.03.01, 44.03.01, 44.03.05, 47.03.01</t>
  </si>
  <si>
    <t>295700.06.01</t>
  </si>
  <si>
    <t>Критика знания: Моногр. / С.В. Борзых. - М.: НИЦ ИНФРА-М, 2024-118с.(Научная мысль; Философия) (о)</t>
  </si>
  <si>
    <t>КРИТИКА ЗНАНИЯ</t>
  </si>
  <si>
    <t>978-5-16-010093-7</t>
  </si>
  <si>
    <t>684086.09.01</t>
  </si>
  <si>
    <t>Кто есть кто в международном терроризме: справочник / В.В.Красинский - М.:НИЦ ИНФРА-М,2025. - 137 с.(о)</t>
  </si>
  <si>
    <t>КТО ЕСТЬ КТО В МЕЖДУНАРОДНОМ ТЕРРОРИЗМЕ</t>
  </si>
  <si>
    <t>Красинский В.В., Машко В.В.</t>
  </si>
  <si>
    <t>978-5-16-020840-4</t>
  </si>
  <si>
    <t>Нижегородский государственный технический университет им. Р.А. Алексеева, ф-л Дзержинский политехнический институт</t>
  </si>
  <si>
    <t>669908.04.01</t>
  </si>
  <si>
    <t>Культурологическая маркиров. аллюзий в рамках худ..: Моногр. / А.М.Гарифуллина - 2 изд. - М.:НИЦ ИНФРА-М,2025 - 120 с.(о)</t>
  </si>
  <si>
    <t>КУЛЬТУРОЛОГИЧЕСКАЯ МАРКИРОВАННОСТЬ АЛЛЮЗИЙ В РАМКАХ ХУДОЖЕСТВЕННОГО ДИСКУРСА Д. ФАУЛЗА, ИЗД.2</t>
  </si>
  <si>
    <t>Гарифуллина А.М.</t>
  </si>
  <si>
    <t>978-5-16-014143-5</t>
  </si>
  <si>
    <t>45.03.01, 51.03.01</t>
  </si>
  <si>
    <t>0219</t>
  </si>
  <si>
    <t>802571.04.01</t>
  </si>
  <si>
    <t>Кумиры: от подражания к творчеству: Моногр. / В.К.Харченко - М.:НИЦ ИНФРА-М,2026. - 181 с.(Науч.мысль)(п)</t>
  </si>
  <si>
    <t>КУМИРЫ: ОТ ПОДРАЖАНИЯ К ТВОРЧЕСТВУ</t>
  </si>
  <si>
    <t>978-5-16-018482-1</t>
  </si>
  <si>
    <t>00.03.09, 00.05.09, 38.03.03, 38.04.03, 39.03.03, 39.04.03, 39.06.01</t>
  </si>
  <si>
    <t>714990.03.01</t>
  </si>
  <si>
    <t>Лев Толстой и его современники: Энц. / Г.В.Алексеева.-М.:НИЦ ИНФРА-М,2021.-726 с.(П)</t>
  </si>
  <si>
    <t>ЛЕВ ТОЛСТОЙ И ЕГО СОВРЕМЕННИКИ</t>
  </si>
  <si>
    <t>Алексеева Г.В., Алексеева О.В., Аленина А.А. и др.</t>
  </si>
  <si>
    <t>978-5-16-016106-8</t>
  </si>
  <si>
    <t>45.03.01, 45.04.01, 45.06.01</t>
  </si>
  <si>
    <t>Северный (Арктический) федеральный университет им. М.В. Ломоносова</t>
  </si>
  <si>
    <t>846327.04.01</t>
  </si>
  <si>
    <t>Лекарственные растения в декоративном садоводстве / Е.Л.Маланкина - М.:НИЦ ИНФРА-М,2025. - 240 с.(п)</t>
  </si>
  <si>
    <t>ЛЕКАРСТВЕННЫЕ РАСТЕНИЯ В ДЕКОРАТИВНОМ САДОВОДСТВЕ</t>
  </si>
  <si>
    <t>Маланкина Е.Л.</t>
  </si>
  <si>
    <t>978-5-16-020493-2</t>
  </si>
  <si>
    <t>35.01.19, 35.02.05, 35.02.12</t>
  </si>
  <si>
    <t>656314.04.01</t>
  </si>
  <si>
    <t>Лексикологический синтез докум.в комп.информ.сист.: Моногр. / Б.В.Черников-М.:ИД ФОРУМ,2023-336с(П)</t>
  </si>
  <si>
    <t>ЛЕКСИКОЛОГИЧЕСКИЙ СИНТЕЗ ДОКУМЕНТОВ В КОМПЛЕКСАХ ИНФОРМАЦИОННЫХ СИСТЕМ</t>
  </si>
  <si>
    <t>Черников Б.В.</t>
  </si>
  <si>
    <t>ИД Форум</t>
  </si>
  <si>
    <t>978-5-8199-0682-8</t>
  </si>
  <si>
    <t>10.02.01, 10.05.05, 26.04.01, 29.03.02, 38.04.02, 46.04.02</t>
  </si>
  <si>
    <t>221500.06.01</t>
  </si>
  <si>
    <t>Лексическая репрезент. фрейма "внимание": Моногр. / О.Н.Прохорова - М.:НИЦ ИНФРА-М,2023-108с(о)</t>
  </si>
  <si>
    <t>ЛЕКСИЧЕСКАЯ РЕПРЕЗЕНТАЦИЯ ФРЕЙМА "ВНИМАНИЕ": СЕМАНТИЧЕСКИЙ АСПЕКТ</t>
  </si>
  <si>
    <t>Прохорова О.Н., Чекулай И.В., Багана Ж. и др.</t>
  </si>
  <si>
    <t>978-5-16-008973-7</t>
  </si>
  <si>
    <t>40.03.01, 44.03.01, 44.03.05, 45.03.01, 45.04.01</t>
  </si>
  <si>
    <t>818243.01.01</t>
  </si>
  <si>
    <t>Лингвокультурные доминанты дискурсивных прак...: Моногр. / Д.В.Атанова. - М.:НИЦ ИНФРА-М,2025. - 169 с.(о)</t>
  </si>
  <si>
    <t>ЛИНГВОКУЛЬТУРНЫЕ ДОМИНАНТЫ ДИСКУРСИВНЫХ ПРАКТИК ПРАВОСЛАВИЯ И ПРОТЕСТАНИЗМА</t>
  </si>
  <si>
    <t>Атанова Д.В., Боженкова Н.А., Боженкова Р.К.</t>
  </si>
  <si>
    <t>978-5-16-020633-2</t>
  </si>
  <si>
    <t>45.04.01, 45.04.02, 45.06.01, 51.04.01, 51.06.01</t>
  </si>
  <si>
    <t>СКАЕНГ ОАНО ДПО</t>
  </si>
  <si>
    <t>680155.05.01</t>
  </si>
  <si>
    <t>Лингвокультурологический сл.географ.назв.Великобритании и США / С.И.Гарагуля-М.:НИЦ ИНФРА-М,2023-257с.(П)</t>
  </si>
  <si>
    <t>ЛИНГВОКУЛЬТУРОЛОГИЧЕСКИЙ СЛОВАРЬ ГЕОГРАФИЧЕСКИХ НАЗВАНИЙ ВЕЛИКОБРИТАНИИ И США.</t>
  </si>
  <si>
    <t>978-5-16-014103-9</t>
  </si>
  <si>
    <t>45.03.02, 45.03.03, 45.03.04, 45.05.01</t>
  </si>
  <si>
    <t>833101.02.01</t>
  </si>
  <si>
    <t>Лингвопрагматика языковой личности педагога: Моногр. / М.Р.Желтухина - М.:НИЦ ИНФРА-М,2026. - 162 с.(о)</t>
  </si>
  <si>
    <t>ЛИНГВОПРАГМАТИКА ЯЗЫКОВОЙ ЛИЧНОСТИ ПЕДАГОГА</t>
  </si>
  <si>
    <t>Сергеева О.В., Желтухина М.Р.</t>
  </si>
  <si>
    <t>978-5-16-020558-8</t>
  </si>
  <si>
    <t>45.04.01, 45.04.02, 45.04.03, 45.06.01</t>
  </si>
  <si>
    <t>684989.06.01</t>
  </si>
  <si>
    <t>Лингвосемиотика милитарно-медийного дискурса: Моногр. / Н.Г.Склярова-М.:НИЦ ИНФРА-М,2023.-88 с.(О)</t>
  </si>
  <si>
    <t>ЛИНГВОСЕМИОТИКА МИЛИТАРНО-МЕДИЙНОГО ДИСКУРСА (НА МАТЕРИАЛЕ СОВРЕМЕННЫХ ПУБЛИКАЦИЙ АНГЛОЯЗЫЧНЫХ СМИ)</t>
  </si>
  <si>
    <t>Склярова Н.Г.</t>
  </si>
  <si>
    <t>978-5-16-014176-3</t>
  </si>
  <si>
    <t>45.03.03, 51.03.01</t>
  </si>
  <si>
    <t>164850.10.01</t>
  </si>
  <si>
    <t>Лингвосинергетика поэтического текста: Моногр. / Е.Ю.Муратова - М.:НИЦ ИНФРА-М,2025 - 219 с(Науч.мысль)(О)</t>
  </si>
  <si>
    <t>ЛИНГВОСИНЕРГЕТИКА ПОЭТИЧЕСКОГО ТЕКСТА</t>
  </si>
  <si>
    <t>Муратова Е.Ю.</t>
  </si>
  <si>
    <t>978-5-16-005168-0</t>
  </si>
  <si>
    <t>44.03.01, 44.03.05, 44.04.01, 45.03.01, 45.03.02, 45.04.01, 45.04.02</t>
  </si>
  <si>
    <t>133110.10.01</t>
  </si>
  <si>
    <t>Лиризм русской прозы 30-х г. XIXв.: Моногр. / В.Н.Остапцева - М.:НИЦ ИНФРА-М,2024 - 128 с.(Науч.мысль)(О)</t>
  </si>
  <si>
    <t>ЛИРИЗМ РУССКОЙ ПРОЗЫ 30-Х ГОДОВ XIX ВЕКА</t>
  </si>
  <si>
    <t>Остапцева В.Н.</t>
  </si>
  <si>
    <t>978-5-16-009749-7</t>
  </si>
  <si>
    <t>Гуманитарно - социальный институт</t>
  </si>
  <si>
    <t>0110</t>
  </si>
  <si>
    <t>768779.04.01</t>
  </si>
  <si>
    <t>Личностная компетентность спец. правоохранит...: Моногр./О.А.Ульянина-М.:ИЦ РИОР, НИЦ ИНФРА-М,2024-220с(П)</t>
  </si>
  <si>
    <t>ЛИЧНОСТНАЯ КОМПЕТЕНТНОСТЬ СПЕЦИАЛИСТОВ ПРАВООХРАНИТЕЛЬНОЙ СФЕРЫ: ПСИХОТЕХНОЛОГИИ ФОРМИРОВАНИЯ В ОБРАЗОВАТЕЛЬНЫХ ОРГАНИЗАЦИЯХ ВЫСШЕГО ОБРАЗОВАНИЯ</t>
  </si>
  <si>
    <t>Ульянина О.А.</t>
  </si>
  <si>
    <t>978-5-369-01884-2</t>
  </si>
  <si>
    <t>40.05.02, 40.05.04, 40.06.01</t>
  </si>
  <si>
    <t>767666.03.01</t>
  </si>
  <si>
    <t>Личность в рос. социальной философии: Моногр. / К.К.Оганян - М.:НИЦ ИНФРА-М,2025. - 292 с.(Науч.мысль)(О)</t>
  </si>
  <si>
    <t>ЛИЧНОСТЬ В РОССИЙСКОЙ СОЦИАЛЬНОЙ ФИЛОСОФИИ: ГЕНЕЗИС УПРАВЛЕНЧЕСКОЙ МЫСЛИ</t>
  </si>
  <si>
    <t>Оганян К.К.</t>
  </si>
  <si>
    <t>978-5-16-017480-8</t>
  </si>
  <si>
    <t>39.04.01, 47.04.01</t>
  </si>
  <si>
    <t>Национальный государственный Университет физической культуры, спорта и здоровья им. П.Ф. Лесгафта</t>
  </si>
  <si>
    <t>417950.07.01</t>
  </si>
  <si>
    <t>М. Горький и писатели Сибири: Моногр. / Л.В.Суматохина - М.:НИЦ ИНФРА-М,2024 - 237 с.(Науч.мысль)(О)</t>
  </si>
  <si>
    <t>М. ГОРЬКИЙ И ПИСАТЕЛИ СИБИРИ</t>
  </si>
  <si>
    <t>Суматохина Л. В.</t>
  </si>
  <si>
    <t>978-5-16-019055-6</t>
  </si>
  <si>
    <t>45.03.01, 45.04.01, 51.03.01, 51.03.06, 52.03.04, 52.03.05</t>
  </si>
  <si>
    <t>Институт мировой литературы им. А.М. Горького Российской академии наук</t>
  </si>
  <si>
    <t>741139.01.01</t>
  </si>
  <si>
    <t>Магистранты российского университета: упр. соц. поведением и проф подготовкой: Моногр / С.Н.Макарова.-М.:НИЦ ИНФРА-М,2021-233с(П)</t>
  </si>
  <si>
    <t>МАГИСТРАНТЫ РОССИЙСКОГО УНИВЕРСИТЕТА: УПРАВЛЕНИЕ СОЦИАЛЬНЫМ ПОВЕДЕНИЕМ И ПРОФЕССИОНАЛЬНОЙ ПОДГОТОВКОЙ</t>
  </si>
  <si>
    <t>Макарова С.Н., Резник С.Д., Резник С.Д.</t>
  </si>
  <si>
    <t>978-5-16-016402-1</t>
  </si>
  <si>
    <t>38.04.02, 38.06.01</t>
  </si>
  <si>
    <t>174500.08.01</t>
  </si>
  <si>
    <t>Макроэкономика: Продв. уров.: Курс лекций / Б.Е.Бродский - М:Магистр,НИЦ ИНФРА-М,2024-336с(Магистр.)(п)</t>
  </si>
  <si>
    <t>МАКРОЭКОНОМИКА: ПРОДВИНУТЫЙ УРОВЕНЬ</t>
  </si>
  <si>
    <t>Бродский Б. Е.</t>
  </si>
  <si>
    <t>Магистратура</t>
  </si>
  <si>
    <t>978-5-9776-0223-5</t>
  </si>
  <si>
    <t>38.03.01, 38.03.04, 38.04.01, 44.03.01, 44.03.05</t>
  </si>
  <si>
    <t>632079.05.01</t>
  </si>
  <si>
    <t>Марк Твен: судьба "короля смеха": Моногр. / Б.А.Гиленсон-М.:НИЦ ИНФРА-М,2024-248с.(Науч.мысль)(п)</t>
  </si>
  <si>
    <t>МАРК ТВЕН: СУДЬБА "КОРОЛЯ СМЕХА"</t>
  </si>
  <si>
    <t>978-5-16-012025-6</t>
  </si>
  <si>
    <t>41.03.06, 42.03.02, 42.03.03, 42.03.04, 52.03.04, 52.03.05</t>
  </si>
  <si>
    <t>829952.01.01</t>
  </si>
  <si>
    <t>Маркетинг отношений с ключ. партнерами в сфере образ.: Моногр. / В.Д.Малыгина - М.:НИЦ ИНФРА-М,2025 - 197 с.(о)</t>
  </si>
  <si>
    <t>МАРКЕТИНГ ОТНОШЕНИЙ С КЛЮЧЕВЫМИ ПАРТНЕРАМИ В СФЕРЕ ОБРАЗОВАНИЯ</t>
  </si>
  <si>
    <t>Малыгина В.Д., Корчига Л.И.</t>
  </si>
  <si>
    <t>978-5-16-020042-2</t>
  </si>
  <si>
    <t>Донецкий национальный университет экономики и торговли имени Михаила Туган-Барановского</t>
  </si>
  <si>
    <t>773065.01.01</t>
  </si>
  <si>
    <t>Математика в профессиональном образовании...: Моногр. / В.М.Федосеев.-М.:НИЦ ИНФРА-М,2022.-173 с.(О)</t>
  </si>
  <si>
    <t>МАТЕМАТИКА В ПРОФЕССИОНАЛЬНОМ ОБРАЗОВАНИИ: ОСНОВЫ МЕТОДИКИ ОБУЧЕНИЯ ИНЖЕНЕРНОЙ МАТЕМАТИКЕ</t>
  </si>
  <si>
    <t>Федосеев В.М., Родионов М.А., Шабанов Г.И.</t>
  </si>
  <si>
    <t>978-5-16-017511-9</t>
  </si>
  <si>
    <t>Пензенский государственный технологический университет</t>
  </si>
  <si>
    <t>435500.08.01</t>
  </si>
  <si>
    <t>Мегаполис в зеркале социальной философии: Моногр./В.А.Есаков - М.:НИЦ ИНФРА-М,2025 - 176 с.(Науч.мысль)(о)</t>
  </si>
  <si>
    <t>МЕГАПОЛИС В ЗЕРКАЛЕ СОЦИАЛЬНОЙ ФИЛОСОФИИ</t>
  </si>
  <si>
    <t>Есаков В.А.</t>
  </si>
  <si>
    <t>978-5-16-011329-6</t>
  </si>
  <si>
    <t>40.03.01, 44.03.01, 44.03.05, 47.03.01, 47.04.01, 47.06.01</t>
  </si>
  <si>
    <t>Московский государственный институт культуры</t>
  </si>
  <si>
    <t>476700.11.01</t>
  </si>
  <si>
    <t>Медицинская биология: Энц. справ. / О.Ю.Смирнов - 2 изд. - М.:НИЦ ИНФРА-М,2025 - 607 с.(П)</t>
  </si>
  <si>
    <t>МЕДИЦИНСКАЯ БИОЛОГИЯ: ЭНЦИКЛОПЕДИЧЕСКИЙ СПРАВОЧНИК, ИЗД.2</t>
  </si>
  <si>
    <t>Смирнов О.Ю.</t>
  </si>
  <si>
    <t>978-5-16-016122-8</t>
  </si>
  <si>
    <t>30.05.01, 30.05.02, 31.05.01, 31.05.02, 31.05.03, 32.05.01, 33.05.01, 34.03.01</t>
  </si>
  <si>
    <t>Сумский государственный университет</t>
  </si>
  <si>
    <t>476700.05.01</t>
  </si>
  <si>
    <t>Медицинская биология: Энц. справ. / О.Ю.Смирнов - М.:Форум, НИЦ ИНФРА-М, 2020-608с.(ВО)(П)</t>
  </si>
  <si>
    <t>МЕДИЦИНСКАЯ БИОЛОГИЯ</t>
  </si>
  <si>
    <t>Смирнов  О.Ю.</t>
  </si>
  <si>
    <t>978-5-00091-177-8</t>
  </si>
  <si>
    <t>834548.01.01</t>
  </si>
  <si>
    <t>Международные экономические отношения: Сб. науч. трудов / отв. ред. С.И.Крупко-М.:Юр. НОРМА,2024.-464 с.(п)</t>
  </si>
  <si>
    <t>МЕЖДУНАРОДНЫЕ ЭКОНОМИЧЕСКИЕ ОТНОШЕНИЯ: ПУБЛИЧНО-ПРАВОВОЕ И ЧАСТНОПРАВОВОЕ РЕГУЛИРОВАНИЕ. СБОРНИК СТАТЕЙ В ЧЕСТЬ 100-ЛЕТИЯ СО ДНЯ РОЖДЕНИЯ ПРОФЕССОРА,</t>
  </si>
  <si>
    <t>Крупко С.И., Зыкин И.С., Трунк А. и др.</t>
  </si>
  <si>
    <t>978-5-00156-380-8</t>
  </si>
  <si>
    <t>40.03.01, 40.05.02, 40.05.04</t>
  </si>
  <si>
    <t>818414.01.01</t>
  </si>
  <si>
    <t>Менеджмент. Избр. статьи. Кн.8.Менеджмент в строительстве...: Моногр. / С.Д.Резник-М.:НИЦ ИНФРА-М,2024.-392 с.(о)</t>
  </si>
  <si>
    <t>МЕНЕДЖМЕНТ. ИЗБРАННЫЕ СТАТЬИ. КНИГА 8, Т.8</t>
  </si>
  <si>
    <t>978-5-16-019506-3</t>
  </si>
  <si>
    <t>00.03.15, 00.05.15, 38.03.02, 38.04.02, 38.04.03, 38.04.04, 38.06.01, 44.06.01</t>
  </si>
  <si>
    <t>128135.12.01</t>
  </si>
  <si>
    <t>Менеджмент: основные термины и понятия: Сл. / Г.В.Кисляков - 2 изд.-М.:НИЦ ИНФРА-М,2024.-176 с.(О)</t>
  </si>
  <si>
    <t>МЕНЕДЖМЕНТ: ОСНОВНЫЕ ТЕРМИНЫ И ПОНЯТИЯ, ИЗД.2</t>
  </si>
  <si>
    <t>Кисляков Г.В., Кислякова Н.А.</t>
  </si>
  <si>
    <t>978-5-16-009748-0</t>
  </si>
  <si>
    <t>38.02.01, 38.02.02, 38.02.03, 38.02.06, 38.02.07, 38.02.08, 38.03.01, 38.03.02, 38.03.03, 38.03.04, 38.03.05, 38.03.06, 38.03.07, 38.03.10, 38.05.01, 38.05.02, 43.02.06, 43.02.11, 43.02.16, 46.02.01</t>
  </si>
  <si>
    <t>Институт деловой карьеры</t>
  </si>
  <si>
    <t>638370.07.01</t>
  </si>
  <si>
    <t>Менеджмент: традиц.и совр. модели: Справ.пос. / В.В.Филатов -М.:НИЦ ИНФРА-М,2024-474(Спр.ИНФРА-М)(П)</t>
  </si>
  <si>
    <t>МЕНЕДЖМЕНТ: ТРАДИЦИОННЫЕ И СОВРЕМЕННЫЕ МОДЕЛИ</t>
  </si>
  <si>
    <t>Филатов В.В., Петросян Д.С., Алексеев А.Е. и др.</t>
  </si>
  <si>
    <t>978-5-16-012235-9</t>
  </si>
  <si>
    <t>38.03.01, 38.03.02, 38.04.01, 38.04.02</t>
  </si>
  <si>
    <t>656472.11.01</t>
  </si>
  <si>
    <t>Менталитет, ментальность и этнопсихолог. особ. китайцев / В.В.Собольников - М.:Вуз. уч.,НИЦ ИНФРА-М,2026 - 160 с.(о)</t>
  </si>
  <si>
    <t>МЕНТАЛИТЕТ, МЕНТАЛЬНОСТЬ И ЭТНОПСИХОЛОГИЧЕСКИЕ ОСОБЕННОСТИ КИТАЙЦЕВ</t>
  </si>
  <si>
    <t>Собольников В.В.</t>
  </si>
  <si>
    <t>978-5-9558-0561-0</t>
  </si>
  <si>
    <t>37.03.01, 38.03.01, 38.03.02, 38.03.03, 38.04.01, 38.04.02, 38.04.03, 43.03.02, 43.03.03</t>
  </si>
  <si>
    <t>683363.09.01</t>
  </si>
  <si>
    <t>Ментальность поколений в текучей современности: Моногр. / В.И.Пищик - М.:НИЦ ИНФРА-М,2025 - 150 с.(О)</t>
  </si>
  <si>
    <t>МЕНТАЛЬНОСТЬ ПОКОЛЕНИЙ В ТЕКУЧЕЙ СОВРЕМЕННОСТИ</t>
  </si>
  <si>
    <t>Пищик В.И.</t>
  </si>
  <si>
    <t>978-5-16-014155-8</t>
  </si>
  <si>
    <t>39.03.01, 39.04.01, 39.06.01, 47.04.01, 47.06.01</t>
  </si>
  <si>
    <t>Донской государственный технический университет</t>
  </si>
  <si>
    <t>163950.06.01</t>
  </si>
  <si>
    <t>Метафизика веры в рус. философии: Моногр. / С.А.Нижников, - 2 изд.-М.:НИЦ ИНФРА-М,2023.-312 с.(Науч.мысль)(О)</t>
  </si>
  <si>
    <t>МЕТАФИЗИКА ВЕРЫ В РУССКОЙ ФИЛОСОФИИ, ИЗД.2</t>
  </si>
  <si>
    <t>Нижников С.А.</t>
  </si>
  <si>
    <t>978-5-16-010328-0</t>
  </si>
  <si>
    <t>40.03.01, 44.03.01, 44.03.05, 47.03.01, 47.03.03, 47.04.01, 47.04.03, 48.03.01, 48.04.01</t>
  </si>
  <si>
    <t>728268.01.01</t>
  </si>
  <si>
    <t>Метафизика творчества: Монография / О.В.Архипова - М.:НИЦ ИНФРА-М,2021 - 186 с.(Науч.мысль)(О)</t>
  </si>
  <si>
    <t>МЕТАФИЗИКА ТВОРЧЕСТВА</t>
  </si>
  <si>
    <t>Архипова О.В., Шор Ю.М.</t>
  </si>
  <si>
    <t>978-5-16-015993-5</t>
  </si>
  <si>
    <t>Санкт-Петербургский государственный экономический университет</t>
  </si>
  <si>
    <t>771221.01.01</t>
  </si>
  <si>
    <t>Метафорические параллели нейтральной номинации...: Моногр. / О.К.Баваева-М.:НИЦ ИНФРА-М,2022.-182 с.(О)</t>
  </si>
  <si>
    <t>МЕТАФОРИЧЕСКИЕ ПАРАЛЛЕЛИ НЕЙТРАЛЬНОЙ НОМИНАЦИИ «ЧЕЛОВЕК» В СОВРЕМЕННОМ АНГЛИЙСКОМ ЯЗЫКЕ</t>
  </si>
  <si>
    <t>Баваева О.К.</t>
  </si>
  <si>
    <t>978-5-16-017491-4</t>
  </si>
  <si>
    <t>45.03.01, 45.04.01, 45.04.02, 45.05.01</t>
  </si>
  <si>
    <t>Институт международного права и экономики им. А.С. Грибоедова</t>
  </si>
  <si>
    <t>651739.03.01</t>
  </si>
  <si>
    <t>Методология научно-гуманитар. познания: Моногр./ Е.А.Соколков-М.:Вуз. уч., НИЦ ИНФРА-М,2020.-350 с.(Науч. книга)(П)</t>
  </si>
  <si>
    <t>МЕТОДОЛОГИЯ НАУЧНО-ГУМАНИТАРНОГО ПОЗНАНИЯ</t>
  </si>
  <si>
    <t>Соколков Е.А.</t>
  </si>
  <si>
    <t>978-5-9558-0543-6</t>
  </si>
  <si>
    <t>Новосибирский национальный исследовательский государственный университет</t>
  </si>
  <si>
    <t>657141.12.01</t>
  </si>
  <si>
    <t>Методология педагогики: Моногр. / Е.А.Александрова - М.:НИЦ ИНФРА-М,2025 - 296 с.(Науч.мысль)(о)</t>
  </si>
  <si>
    <t>МЕТОДОЛОГИЯ ПЕДАГОГИКИ</t>
  </si>
  <si>
    <t>Александрова Е.А., Асадуллин Р.М., Бережнова Е.В. и др.</t>
  </si>
  <si>
    <t>978-5-16-019358-8</t>
  </si>
  <si>
    <t>44.03.01, 44.03.03, 44.03.05, 44.04.04</t>
  </si>
  <si>
    <t>000029.17.01</t>
  </si>
  <si>
    <t>Мини-грамматика англ. яз.: Справ. пос. / И.Е. Торбан - 3 изд. - М.: ИНФРА-М, 2026 - 112 с. (о. к/ф)</t>
  </si>
  <si>
    <t>МИНИ-ГРАММАТИКА АНГЛИЙСКОГО ЯЗЫКА, ИЗД.3</t>
  </si>
  <si>
    <t>978-5-16-003174-3</t>
  </si>
  <si>
    <t>00.02.02, 00.03.02, 00.05.02, 44.02.01</t>
  </si>
  <si>
    <t>0308</t>
  </si>
  <si>
    <t>767764.01.01</t>
  </si>
  <si>
    <t>Мировоззренческая инволюция: причины...: Моногр. / А.А.Лагунов-М.:НИЦ ИНФРА-М,2022.-195 с.(Науч.мысль)(О)</t>
  </si>
  <si>
    <t>МИРОВОЗЗРЕНЧЕСКАЯ ИНВОЛЮЦИЯ: ПРИЧИНЫ, ПОСЛЕДСТВИЯ И ПЕРСПЕКТИВЫ</t>
  </si>
  <si>
    <t>Лагунов А.А.</t>
  </si>
  <si>
    <t>978-5-16-017325-2</t>
  </si>
  <si>
    <t>Северо-Кавказский федеральный университет</t>
  </si>
  <si>
    <t>733607.05.01</t>
  </si>
  <si>
    <t>Миф о Наполеоне в рус. клас. XIX в. (А.С. Пушкин...): Моногр. / И.В.Артамонова-М.:НИЦ ИНФРА-М,2025.-170 с.(О)</t>
  </si>
  <si>
    <t>МИФ О НАПОЛЕОНЕ В РУССКОЙ КЛАССИКЕ XIX ВЕКА (А.С. ПУШКИН, М.Ю. ЛЕРМОНТОВ, Н.В. ГОГОЛЬ)</t>
  </si>
  <si>
    <t>Артамонова И.В.</t>
  </si>
  <si>
    <t>978-5-16-016107-5</t>
  </si>
  <si>
    <t>44.04.01, 44.06.01, 45.04.01, 45.06.01</t>
  </si>
  <si>
    <t>435400.06.01</t>
  </si>
  <si>
    <t>Мифология, философия и немножко теории систем: Моногр. / Л.А.Петрушенко-М.:НИЦ ИНФРА-М,2024.-118с(О)</t>
  </si>
  <si>
    <t>МИФОЛОГИЯ, ФИЛОСОФИЯ И НЕМНОЖКО ТЕОРИИ СИСТЕМ</t>
  </si>
  <si>
    <t>Петрушенко Л.А.</t>
  </si>
  <si>
    <t>978-5-16-011318-0</t>
  </si>
  <si>
    <t>01.04.01, 02.04.01, 09.03.03, 09.04.04, 10.04.01, 27.04.03, 38.04.05, 40.03.01, 41.03.04, 41.03.05, 41.04.04, 44.03.01, 44.03.05, 46.03.01, 47.03.01, 51.03.02</t>
  </si>
  <si>
    <t>751092.07.01</t>
  </si>
  <si>
    <t>Михаил Пришвин и рус. культура ХIХ-ХХ в.: Моногр. / А.М.Подоксенов - М.:НИЦ ИНФРА-М,2026 - 324 с.(Науч.мысль)(О)</t>
  </si>
  <si>
    <t>МИХАИЛ ПРИШВИН И РУССКАЯ КУЛЬТУРА ХIХ-ХХ ВЕКОВ: ДИАЛОГИ С ЭПОХОЙ</t>
  </si>
  <si>
    <t>Подоксенов А.М.</t>
  </si>
  <si>
    <t>978-5-16-016854-8</t>
  </si>
  <si>
    <t>00.03.05, 00.03.09, 00.05.05, 00.05.09, 44.04.01, 44.06.01, 45.03.01, 45.04.01, 45.06.01, 51.04.01, 51.06.01</t>
  </si>
  <si>
    <t>258500.10.01</t>
  </si>
  <si>
    <t>Монеты и банкноты от античности до наших дней / Н.А. Разманова - М.:Вуз.. уч.: ИНФРА-М, 2025-216с. (п)</t>
  </si>
  <si>
    <t>МОНЕТЫ И БАНКНОТЫ ОТ АНТИЧНОСТИ ДО НАШИХ ДНЕЙ: ПРОИСХОЖДЕНИЕ И ЭВОЛЮЦИЯ</t>
  </si>
  <si>
    <t>Разманова Н. А., Лаптева Е. В., Нестеренко Е. И., Муравьева Л. А.</t>
  </si>
  <si>
    <t>978-5-9558-0357-9</t>
  </si>
  <si>
    <t>38.03.01, 38.04.08, 41.03.01, 41.03.05, 41.03.06, 41.04.01, 41.04.05, 44.03.05, 46.03.01, 46.04.01, 51.03.01, 51.04.01</t>
  </si>
  <si>
    <t>417450.10.01</t>
  </si>
  <si>
    <t>Мониторинг качества образов. процесса в школе: Моногр. / С.Е.Шишов - М.: ИНФРА-М, 2023 - 205 с. (о)</t>
  </si>
  <si>
    <t>МОНИТОРИНГ КАЧЕСТВА ОБРАЗОВАТЕЛЬНОГО ПРОЦЕССА В ШКОЛЕ</t>
  </si>
  <si>
    <t>Шишов С. Е., Кальней В. А., Гирба Е. Ю.</t>
  </si>
  <si>
    <t>978-5-16-006507-6</t>
  </si>
  <si>
    <t>758769.01.01</t>
  </si>
  <si>
    <t>Монтаж, техн. обслуж. и ремонт электроустановок предпр.../ Ю.Д.Сибикин - М.:НИЦ ИНФРА-М,2025. - 311 с.(ВО)(п)</t>
  </si>
  <si>
    <t>МОНТАЖ, ТЕХНИЧЕСКОЕ ОБСЛУЖИВАНИЕ И РЕМОНТ ЭЛЕКТРОУСТАНОВОК ПРЕДПРИЯТИЙ НЕФТЯНОЙ ПРОМЫШЛЕННОСТИ</t>
  </si>
  <si>
    <t>Сибикин Ю.Д., Яшков В.А.</t>
  </si>
  <si>
    <t>978-5-16-017289-7</t>
  </si>
  <si>
    <t>00.03.31</t>
  </si>
  <si>
    <t>Декабрь, 2024</t>
  </si>
  <si>
    <t>791671.01.01</t>
  </si>
  <si>
    <t>Морская доктрина РФ: Сб. док.- М.:НИЦ ИНФРА-М,2023.-53 с.(О)</t>
  </si>
  <si>
    <t>МОРСКАЯ ДОКТРИНА РОССИЙСКОЙ ФЕДЕРАЦИИ</t>
  </si>
  <si>
    <t>978-5-16-018005-2</t>
  </si>
  <si>
    <t>56.04.01</t>
  </si>
  <si>
    <t>707961.06.01</t>
  </si>
  <si>
    <t>Морская практика: Курс лекций / М.В.Наумов - М.:НИЦ ИНФРА-М,2024 - 328 с.(Военное обр.)(п)</t>
  </si>
  <si>
    <t>МОРСКАЯ ПРАКТИКА</t>
  </si>
  <si>
    <t>Наумов М.В., Володин В.Н.</t>
  </si>
  <si>
    <t>Военное образование (ЧВВМУ им. Нахимова)</t>
  </si>
  <si>
    <t>978-5-16-015336-0</t>
  </si>
  <si>
    <t>26.02.03, 26.05.04, 26.05.05, 26.05.06, 26.05.07</t>
  </si>
  <si>
    <t>ЧЕРНОМОРСКОЕ ВЫСШЕЕ ВОЕННО-МОРСКОЕ ОРДЕНОВ НАХИМОВА и КРАСНОЙ ЗВЕЗДЫ УЧИЛИЩЕ ИМЕНИ П.С.НАХИМОВА Министерство обороны Российской Федерации</t>
  </si>
  <si>
    <t>803179.05.01</t>
  </si>
  <si>
    <t>Музыка как элемент духовной культуры...: Моногр. / Л.П.Шиповская - М.:НИЦ ИНФРА-М,2026. - 195 с.(Науч.мысль)(о)</t>
  </si>
  <si>
    <t>МУЗЫКА КАК ЭЛЕМЕНТ ДУХОВНОЙ КУЛЬТУРЫ - МОЩНЫЙ ФАКТОР ИНТЕГРАЦИИ И УНИВЕРСАЛИЗАЦИИ ВСЕЙ ДУХОВНОЙ ЖИЗНИ ОБЩЕСТВА</t>
  </si>
  <si>
    <t>Шиповская Л.П.</t>
  </si>
  <si>
    <t>978-5-16-018740-2</t>
  </si>
  <si>
    <t>Музыка. Нотные издания</t>
  </si>
  <si>
    <t>53.04.06</t>
  </si>
  <si>
    <t>724893.03.01</t>
  </si>
  <si>
    <t>Музыкально-эстетическое воспитание: Моногр. / Г.Г.Коломиец - 2 изд. - М.:НИЦ ИНФРА-М,2026 - 240 с.(О)</t>
  </si>
  <si>
    <t>МУЗЫКАЛЬНО-ЭСТЕТИЧЕСКОЕ ВОСПИТАНИЕ (АКСИОЛОГИЧЕСКИЙ ПОДХОД), ИЗД.2</t>
  </si>
  <si>
    <t>Коломиец Г.Г.</t>
  </si>
  <si>
    <t>978-5-16-015884-6</t>
  </si>
  <si>
    <t>53.02.01, 53.02.02, 53.03.01, 53.03.02, 53.03.06, 53.04.01, 53.04.02, 53.04.03, 53.04.06, 53.05.04, 53.05.05, 53.09.01, 53.09.02</t>
  </si>
  <si>
    <t>Оренбургский государственный университет</t>
  </si>
  <si>
    <t>768772.02.01</t>
  </si>
  <si>
    <t>Навигационная концепция информац. моделир. мира: Моногр. / А.Н.Паранина - М.:НИЦ ИНФРА-М,2026. - 271 с.(п)</t>
  </si>
  <si>
    <t>НАВИГАЦИОННАЯ КОНЦЕПЦИЯ ИНФОРМАЦИОННОГО МОДЕЛИРОВАНИЯ МИРА</t>
  </si>
  <si>
    <t>Паранина А.Н.</t>
  </si>
  <si>
    <t>978-5-16-019877-4</t>
  </si>
  <si>
    <t>05.03.02</t>
  </si>
  <si>
    <t>767302.01.01</t>
  </si>
  <si>
    <t>Нанокомпьютерная терминология: Вопросы теории: Моногр. / М.Р.Милуд - М.:НИЦ ИНФРА-М,2022-125 с(Науч.мысль)(О)</t>
  </si>
  <si>
    <t>НАНОКОМПЬЮТЕРНАЯ ТЕРМИНОЛОГИЯ: ВОПРОСЫ ТЕОРИИ</t>
  </si>
  <si>
    <t>Милуд М.Р.</t>
  </si>
  <si>
    <t>978-5-16-017405-1</t>
  </si>
  <si>
    <t>09.03.01, 09.04.01, 09.04.02, 09.04.03, 09.04.04, 09.05.01, 09.06.01</t>
  </si>
  <si>
    <t>453100.06.01</t>
  </si>
  <si>
    <t>Народно-сценический танец: Моногр. / В.Н.Карпенко и др. -М.:НИЦ ИНФРА-М,2024-306с-(Научная мысль)(П)</t>
  </si>
  <si>
    <t>НАРОДНО-СЦЕНИЧЕСКИЙ ТАНЕЦ</t>
  </si>
  <si>
    <t>Карпенко В.Н., Карпенко И.А., Багана Ж.</t>
  </si>
  <si>
    <t>978-5-16-011459-0</t>
  </si>
  <si>
    <t>51.03.02, 52.03.01</t>
  </si>
  <si>
    <t>825800.01.01</t>
  </si>
  <si>
    <t>Наследие святителя Т. Задонского и формир. нац.-дух.../ Б.О.Архангельский-М.:НИЦ ИНФРА-М,2025.-293 с.(п)</t>
  </si>
  <si>
    <t>НАСЛЕДИЕ СВЯТИТЕЛЯ ТИХОНА ЗАДОНСКОГО И ФОРМИРОВАНИЕ НАЦИОНАЛЬНО-ДУХОВНОЙ ИДЕНТИЧНОСТИ В СОВРЕМЕННОМ МИРЕ</t>
  </si>
  <si>
    <t>Стюфляева Н.В., Сатарова Л.Г., Безбородова Н.Я. и др.</t>
  </si>
  <si>
    <t>978-5-16-019876-7</t>
  </si>
  <si>
    <t>47.04.01, 47.04.03, 47.06.01, 48.04.01, 48.06.01</t>
  </si>
  <si>
    <t>795901.08.01</t>
  </si>
  <si>
    <t>Наставление по физической подготовке в Вооруженных силах РФ (НФП 2023) - М.:НИЦ ИНФРА-М,2025. - 232 с.(о)</t>
  </si>
  <si>
    <t>НАСТАВЛЕНИЕ ПО ФИЗИЧЕСКОЙ ПОДГОТОВКЕ В ВООРУЖЕННЫХ СИЛАХ РОССИЙСКОЙ ФЕДЕРАЦИИ</t>
  </si>
  <si>
    <t>978-5-16-019453-0</t>
  </si>
  <si>
    <t>Правила</t>
  </si>
  <si>
    <t>00.01.05, 00.02.14, 00.03.14, 00.05.14</t>
  </si>
  <si>
    <t>675070.04.01</t>
  </si>
  <si>
    <t>Научная деят. студентов: систем. анализ: Моногр./ В.В.Байлук - М.:НИЦ ИНФРА-М,2024-145с(Науч.мысль)(О)</t>
  </si>
  <si>
    <t>НАУЧНАЯ ДЕЯТЕЛЬНОСТЬ СТУДЕНТОВ: СИСТЕМНЫЙ АНАЛИЗ</t>
  </si>
  <si>
    <t>Байлук В.В.</t>
  </si>
  <si>
    <t>978-5-16-013656-1</t>
  </si>
  <si>
    <t>22.04.02, 28.04.02, 38.03.01, 47.04.03</t>
  </si>
  <si>
    <t>Уральский государственный педагогический университет</t>
  </si>
  <si>
    <t>796510.01.01</t>
  </si>
  <si>
    <t>Научно-практич. комментарий к Федеральному закону от 3.08.2018 г./ Е.А.Галиновская-М.:НИЦ ИНФРА-М,2023.-184 с(п)</t>
  </si>
  <si>
    <t>НАУЧНО-ПРАКТИЧЕСКИЙ КОММЕНТАРИЙ К ФЕДЕРАЛЬНОМУ ЗАКОНУ ОТ 3 АВГУСТА 2018 Г. № 280-ФЗ «ОБ ОРГАНИЧЕСКОЙ ПРОДУКЦИИ И О ВНЕСЕНИИ ИЗМЕНЕНИЙ В ОТДЕЛЬНЫЕ ЗАКО</t>
  </si>
  <si>
    <t>Галиновская Е.А., Игнатьева И.А., Калмыкова А.В. и др.</t>
  </si>
  <si>
    <t>978-5-16-018142-4</t>
  </si>
  <si>
    <t>35.04.04, 35.06.01</t>
  </si>
  <si>
    <t>796511.01.01</t>
  </si>
  <si>
    <t>Научно-практич. комментарий к Федеральному закону... / С.А.Боголюбов-М.:НИЦ ИНФРА-М,2023.-192 с.(п)</t>
  </si>
  <si>
    <t>НАУЧНО-ПРАКТИЧЕСКИЙ КОММЕНТАРИЙ К ФЕДЕРАЛЬНОМУ ЗАКОНУ ОТ 1 МАЯ 1999 Г. № 94-ФЗ «ОБ ОХРАНЕ ОЗЕРА БАЙКАЛ»</t>
  </si>
  <si>
    <t>Боголюбов С.А., Галиновская Е.А., Горохов Д.Б. и др.</t>
  </si>
  <si>
    <t>978-5-16-018143-1</t>
  </si>
  <si>
    <t>06.04.01, 06.06.01, 20.04.01, 20.06.01, 40.06.01</t>
  </si>
  <si>
    <t>800718.01.01</t>
  </si>
  <si>
    <t>Научные и логико-философ. основы методич. принц. обуч. иностр.яз.) / С.А.Ламзин-М.:НИЦ ИНФРА-М,2023.-208с(О)</t>
  </si>
  <si>
    <t>НАУЧНЫЕ И ЛОГИКО-ФИЛОСОФСКИЕ ОСНОВЫ МЕТОДИЧЕСКИХ ПРИНЦИПОВ ОБУЧЕНИЯ ИНОСТРАННЫМ  ЯЗЫКАМ (СИНЕРГЕТИЧЕСКИЙ АСПЕКТ)</t>
  </si>
  <si>
    <t>Ламзин С.А.</t>
  </si>
  <si>
    <t>978-5-16-018481-4</t>
  </si>
  <si>
    <t>44.04.02, 45.04.02</t>
  </si>
  <si>
    <t>Рязанский государственный университет им. С.А. Есенина</t>
  </si>
  <si>
    <t>800133.01.01</t>
  </si>
  <si>
    <t>Национализм как пробл. социальной философии: Моногр. / К.В.Аршин - М.:НИЦ ИНФРА-М,2026. - 210 с.(п)</t>
  </si>
  <si>
    <t>НАЦИОНАЛИЗМ КАК ПРОБЛЕМА СОЦИАЛЬНОЙ ФИЛОСОФИИ</t>
  </si>
  <si>
    <t>Аршин К.В.</t>
  </si>
  <si>
    <t>978-5-16-020817-6</t>
  </si>
  <si>
    <t>37.06.01, 41.04.04, 41.04.06, 41.06.01</t>
  </si>
  <si>
    <t>Всероссийский научно-исследовательский институт картофельного хозяйства имени А.Г.Лорха</t>
  </si>
  <si>
    <t>752424.01.01</t>
  </si>
  <si>
    <t>Начала педагогики безопасности: Моногр. / С.П.Данченко - М.:НИЦ ИНФРА-М,2021 - 192 с.-(Науч.мысль)(О)</t>
  </si>
  <si>
    <t>НАЧАЛА ПЕДАГОГИКИ БЕЗОПАСНОСТИ</t>
  </si>
  <si>
    <t>Данченко С.П.</t>
  </si>
  <si>
    <t>978-5-16-016911-8</t>
  </si>
  <si>
    <t>44.03.01, 44.04.01, 44.04.02, 44.04.04, 44.06.01</t>
  </si>
  <si>
    <t>Санкт-Петербургская академия постдипломного педагогического образования имени К.Д. Ушинского</t>
  </si>
  <si>
    <t>457798.0062.01</t>
  </si>
  <si>
    <t>Начальное образование, 2024, № 4</t>
  </si>
  <si>
    <t>НАЧАЛЬНОЕ ОБРАЗОВАНИЕ, 2024, № 4</t>
  </si>
  <si>
    <t>457798.0069.01</t>
  </si>
  <si>
    <t>Начальное образование, 2025, № 5</t>
  </si>
  <si>
    <t>НАЧАЛЬНОЕ ОБРАЗОВАНИЕ, 2025, № 5</t>
  </si>
  <si>
    <t>0103</t>
  </si>
  <si>
    <t>826044.01.01</t>
  </si>
  <si>
    <t>Начертательная геометрия: Сл. / Н.А.Сальков - М.:НИЦ ИНФРА-М,2025. - 178 с.(Б-ка сл. ИНФРА-М)(п)</t>
  </si>
  <si>
    <t>НАЧЕРТАТЕЛЬНАЯ ГЕОМЕТРИЯ</t>
  </si>
  <si>
    <t>978-5-16-020000-2</t>
  </si>
  <si>
    <t>08.05.02, 11.05.01, 12.03.02, 12.03.05, 12.05.01, 13.03.03, 14.05.01, 15.03.03, 15.05.01, 16.03.02, 16.05.01, 17.05.01, 17.05.02, 18.05.01, 18.05.02, 19.03.03, 20.03.01, 20.03.02, 21.03.02, 21.05.04, 21.05.05, 21.05.06, 23.03.02, 23.05.01, 23.05.02, 23.05.03, 23.05.06, 24.03.01, 24.03.02, 24.03.03, 24.03.04, 24.03.05, 24.05.01, 24.05.03, 24.05.04, 24.05.06, 24.05.07, 26.03.02, 28.03.02, 28.03.03, 35.03.06, 35.03.10, 54.03.01, 54.03.04</t>
  </si>
  <si>
    <t>399800.08.01</t>
  </si>
  <si>
    <t>Невербальный язык немцев: Моногр. / В.И.Дубинский - М.:НИЦ ИНФРА-М,2023 - 82 с..-(Науч.мысль)(О)</t>
  </si>
  <si>
    <t>НЕВЕРБАЛЬНЫЙ ЯЗЫК НЕМЦЕВ</t>
  </si>
  <si>
    <t>Дубинский В.И.</t>
  </si>
  <si>
    <t>978-5-16-011284-8</t>
  </si>
  <si>
    <t>38.03.01, 45.03.01, 51.03.01, 51.03.02</t>
  </si>
  <si>
    <t>768262.01.01</t>
  </si>
  <si>
    <t>Недуг славы. Исторические, психопатологич. и социально-психол. аспекты: Моногр. / А.В.Шувалов, -М.:НИЦ ИНФРА-М,2021-525 с.(П)</t>
  </si>
  <si>
    <t>НЕДУГ СЛАВЫ. ИСТОРИЧЕСКИЕ, ПСИХОПАТОЛОГИЧЕСКИЕ И СОЦИАЛЬНО-ПСИХОЛОГИЧЕСКИЕ АСПЕКТЫ</t>
  </si>
  <si>
    <t>Шувалов А.В., Пойзнер Б.Н., Бузик О.Ж.</t>
  </si>
  <si>
    <t>978-5-16-017340-5</t>
  </si>
  <si>
    <t>37.03.01, 37.03.02, 37.04.01, 37.04.02, 37.05.01, 37.05.02, 37.06.01, 38.04.03, 44.04.02, 44.05.01</t>
  </si>
  <si>
    <t>639685.02.01</t>
  </si>
  <si>
    <t>Нелепости века: Монография / С.В.Борзых - М.:НИЦ ИНФРА-М,2021 - 167 с.-(Науч.мысль)(о)</t>
  </si>
  <si>
    <t>НЕЛЕПОСТИ ВЕКА</t>
  </si>
  <si>
    <t>978-5-16-016966-8</t>
  </si>
  <si>
    <t>673647.04.01</t>
  </si>
  <si>
    <t>Немецкая лит-ра 1990-х г. Ситуация «поворота»: Моногр/ / Д.А.Чугунов,-2 изд.-М:НИЦ ИНФРА-М,2024-258с(П)</t>
  </si>
  <si>
    <t>НЕМЕЦКАЯ ЛИТЕРАТУРА 1990-Х ГОДОВ. СИТУАЦИЯ «ПОВОРОТА», ИЗД.2</t>
  </si>
  <si>
    <t>978-5-16-013792-6</t>
  </si>
  <si>
    <t>45.03.01, 45.04.01, 45.05.01, 45.06.01</t>
  </si>
  <si>
    <t>433450.13.01</t>
  </si>
  <si>
    <t>Нестероидные противовоспалительные препар.: Практ. реком./Л.И. Дятчина - НИЦ ИНФРА-М, 2022-77с.+вкл. (О к/ф)</t>
  </si>
  <si>
    <t>НЕСТЕРОИДНЫЕ ПРОТИВОВОСПАЛИТЕЛЬНЫЕ ПРЕПАРАТЫ</t>
  </si>
  <si>
    <t>Дятчина Л. И., Ханов А. Г.</t>
  </si>
  <si>
    <t>978-5-16-006680-6</t>
  </si>
  <si>
    <t>31.05.01, 33.05.01</t>
  </si>
  <si>
    <t>Ростовский государственный медицинский университет</t>
  </si>
  <si>
    <t>778744.01.01</t>
  </si>
  <si>
    <t>Нефтегазовая терминология: опыт лингвист. описания: Моногр. / М.Р.Милуд-М.:НИЦ ИНФРА-М,2023.-141 с.(О)</t>
  </si>
  <si>
    <t>НЕФТЕГАЗОВАЯ ТЕРМИНОЛОГИЯ: ОПЫТ ЛИНГВИСТИЧЕСКОГО ОПИСАНИЯ</t>
  </si>
  <si>
    <t>978-5-16-017882-0</t>
  </si>
  <si>
    <t>431950.0014.01</t>
  </si>
  <si>
    <t>НИР. Российский журнал управления проектами, 2017, вып. № 2 (19)</t>
  </si>
  <si>
    <t>НИР. РОССИЙСКИЙ ЖУРНАЛ УПРАВЛЕНИЯ ПРОЕКТАМИ, 2017, № 2 (19)</t>
  </si>
  <si>
    <t>38.00.00, 38.03.02</t>
  </si>
  <si>
    <t>434093.0019.01</t>
  </si>
  <si>
    <t>НИР. Современная коммуникативистика, 2017, вып. № 3 (28)</t>
  </si>
  <si>
    <t>НИР. СОВРЕМЕННАЯ КОММУНИКАТИВИСТИКА, 2017, № 3 (28)</t>
  </si>
  <si>
    <t>428391.0016.01</t>
  </si>
  <si>
    <t>НИР. Экономика фирмы, 2017, вып. №3 (20)</t>
  </si>
  <si>
    <t>НИР. ЭКОНОМИКА ФИРМЫ, 2017, №3 (20)</t>
  </si>
  <si>
    <t>38.04.01, 38.04.02, 38.06.01</t>
  </si>
  <si>
    <t>447316.0019.01</t>
  </si>
  <si>
    <t>НИР. Экономика, 2017, вып. № 3 (27)</t>
  </si>
  <si>
    <t>НИР. ЭКОНОМИКА, 2017, № 3 (27)</t>
  </si>
  <si>
    <t>640912.07.01</t>
  </si>
  <si>
    <t>Нобелевские лауреаты по экономике в XXI в.: Т.1 / А.Г.Худокормов -М.:НИЦ ИНФРА-М,2023-363с.(Науч.мысль)(П)</t>
  </si>
  <si>
    <t>НОБЕЛЕВСКИЕ ЛАУРЕАТЫ ПО ЭКОНОМИКЕ В XXI ВЕКЕ. ТОМ 1, Т.1</t>
  </si>
  <si>
    <t>Худокормов А.Г., Ольсевич Ю.Я., Нелюбина А.С. и др.</t>
  </si>
  <si>
    <t>978-5-16-016488-5</t>
  </si>
  <si>
    <t>38.03.01</t>
  </si>
  <si>
    <t>Московский государственный университет им. М.В. Ломоносова, экономический факультет</t>
  </si>
  <si>
    <t>268500.05.01</t>
  </si>
  <si>
    <t>Новая экономика: теория и практ. / Е.Ф.Авдокушин - М.:Магистр, НИЦ ИНФРА-М,2023-368 с(Экономика 2.0)(П)</t>
  </si>
  <si>
    <t>НОВАЯ ЭКОНОМИКА: ТЕОРИЯ И ПРАКТИКА</t>
  </si>
  <si>
    <t>Авдокушин Е.Ф., Авдокушин Е.Ф., Сизов В.С.</t>
  </si>
  <si>
    <t>Экономика 2.0</t>
  </si>
  <si>
    <t>978-5-9776-0306-5</t>
  </si>
  <si>
    <t>38.04.01, 40.03.01, 44.03.05</t>
  </si>
  <si>
    <t>058000.21.01</t>
  </si>
  <si>
    <t>Новая экономическая энц. / Е.Е. Румянцева. - 4 изд. - М.: ИНФРА-М, 2026. - 882 с.(п, dvd)</t>
  </si>
  <si>
    <t>НОВАЯ ЭКОНОМИЧЕСКАЯ ЭНЦИКЛОПЕДИЯ, ИЗД.4</t>
  </si>
  <si>
    <t>Румянцева Е.Е.</t>
  </si>
  <si>
    <t>978-5-16-004189-6</t>
  </si>
  <si>
    <t>38.03.01, 38.03.02, 38.03.03, 38.03.04, 38.03.05, 38.03.06, 38.03.07, 38.04.01, 38.04.02, 38.04.03, 38.04.04, 38.04.05, 38.04.06, 38.04.07, 38.04.08, 38.04.09, 38.05.01, 38.05.02</t>
  </si>
  <si>
    <t>Российская академия народного хозяйства и государственной службы при Президенте РФ</t>
  </si>
  <si>
    <t>0411</t>
  </si>
  <si>
    <t>799999.01.01</t>
  </si>
  <si>
    <t>Новые подходы к кадровому обеспечению в усл. импортозам...: Моногр./ О.Е.Ломакин -М.:НИЦ ИНФРА-М,2024-181 с.(п)</t>
  </si>
  <si>
    <t>НОВЫЕ ПОДХОДЫ К КАДРОВОМУ ОБЕСПЕЧЕНИЮ В УСЛОВИЯХ ИМПОРТОЗАМЕЩЕНИЯ И ЦИФРОВОЙ ТРАНСФОРМАЦИИ</t>
  </si>
  <si>
    <t>Ломакин О.Е., Можаев Е.Е., Марков А.К.</t>
  </si>
  <si>
    <t>978-5-16-019964-1</t>
  </si>
  <si>
    <t>38.04.02, 38.04.03, 38.06.01</t>
  </si>
  <si>
    <t>Институт повышения квалификации руководящих работников и специалистов</t>
  </si>
  <si>
    <t>808000.01.01</t>
  </si>
  <si>
    <t>Нормативные измер. христианских канонов...: Моногр. / А.А.Сычев-М.:НИЦ ИНФРА-М,2024.-192 с.(Науч.мысль)(о)</t>
  </si>
  <si>
    <t>НОРМАТИВНЫЕ ИЗМЕРЕНИЯ ХРИСТИАНСКИХ КАНОНОВ: ТРАДИЦИИ И ДИНАМИКА</t>
  </si>
  <si>
    <t>Сычев А.А., Коваль Е.А., Жадунова Н.В.</t>
  </si>
  <si>
    <t>978-5-16-018876-8</t>
  </si>
  <si>
    <t>48.03.01, 48.04.01, 48.06.01</t>
  </si>
  <si>
    <t>Национальный исследовательский Мордовский государственный университет им. Н.П. Огарева</t>
  </si>
  <si>
    <t>130000.06.01</t>
  </si>
  <si>
    <t>НРЭ: Т.10(1): Лонгчен Рабджам - Марокко / Ред.кол. А.Д.Некипелов-М.:Энц.,НИЦ ИНФРА-М,2019-480с.(п)</t>
  </si>
  <si>
    <t>НОВАЯ РОССИЙСКАЯ ЭНЦИКЛОПЕДИЯ: ТОМ 10(1): ЛОНГЧЕН РАБДЖАМ - МАРОККО</t>
  </si>
  <si>
    <t>Некипелов А.Д., Данилов-Данильян В.И.</t>
  </si>
  <si>
    <t>978-5-94802-045-7</t>
  </si>
  <si>
    <t>00.03.16, 00.05.16</t>
  </si>
  <si>
    <t>134000.07.01</t>
  </si>
  <si>
    <t>НРЭ: Т.12(1): Нитра - Орлеан / Ред. кол. Некипелов А.Д. и др. -М.:Энц., НИЦ ИНФРА-М,2019-480 с.(П</t>
  </si>
  <si>
    <t>НОВАЯ РОССИЙСКАЯ ЭНЦИКЛОПЕДИЯ: ТОМ 12(1): НИТРА-ОРЛЕАН, Т.12</t>
  </si>
  <si>
    <t>978-5-94802-053-2</t>
  </si>
  <si>
    <t>135000.02.01</t>
  </si>
  <si>
    <t>НРЭ: Т.12(2): Орлеанская- Пермь / Ред.кол. А.Д.Некипелов и др. - М.:Энц.,НИЦ ИНФРА-М,2015.-480 с.(п)</t>
  </si>
  <si>
    <t>НОВАЯ РОССИЙСКАЯ ЭНЦИКЛОПЕДИЯ: ТОМ 12(2): ОРЛЕАНСКАЯ- ПЕРМЬ</t>
  </si>
  <si>
    <t>978-5-94802-054-9</t>
  </si>
  <si>
    <t>183000.06.01</t>
  </si>
  <si>
    <t>НРЭ: Т.13(1): Пермяк - Португальские / Ред.кол. А.Д.Некипелов и др.-М.:Энц.,НИЦ ИНФРА-М,2019-480с(п)</t>
  </si>
  <si>
    <t>НОВАЯ РОССИЙСКАЯ ЭНЦИКЛОПЕДИЯ: ТОМ 13(1): ПЕРМЯК - ПОРТУГАЛЬСКИЕ, Т.13</t>
  </si>
  <si>
    <t>978-5-94802-055-6</t>
  </si>
  <si>
    <t>185000.06.01</t>
  </si>
  <si>
    <t>НРЭ: Т.13(2): Португальские - Рдест / Ред.кол. А.Д.Некипелов  и др.-М.:Энц.,НИЦ ИНФРА-М,2021-480с(п)</t>
  </si>
  <si>
    <t>НОВАЯ РОССИЙСКАЯ ЭНЦИКЛОПЕДИЯ: ТОМ 13(2): ПОРТУГАЛЬСКИЕ - РДЕСТ, Т.13</t>
  </si>
  <si>
    <t>978-5-94802-056-3</t>
  </si>
  <si>
    <t>186000.05.01</t>
  </si>
  <si>
    <t>НРЭ: Т.14(1): Ре - Рыкованов / Ред.кол. А.Д.Некипелов и др. - М.:НИЦ ИНФРА-М,Энц.,2019-480с.(п)</t>
  </si>
  <si>
    <t>НОВАЯ РОССИЙСКАЯ ЭНЦИКЛОПЕДИЯ: ТОМ 14(1): РЕ - РЫКОВАНОВ, Т.14</t>
  </si>
  <si>
    <t>978-5-94802-059-4</t>
  </si>
  <si>
    <t>187000.07.01</t>
  </si>
  <si>
    <t>НРЭ: Т.14(2): Рылеев-Сентиментализм / Ред.кол. Некипелов А.Д.-М.:Энц.,НИЦ ИНФРА-М,2021-480 с.(П)</t>
  </si>
  <si>
    <t>НОВАЯ РОССИЙСКАЯ ЭНЦИКЛОПЕДИЯ: ТОМ 14 (2): РЫЛЕЕВ-СЕНТИМЕНТАЛИЗМ, Т.14</t>
  </si>
  <si>
    <t>978-5-94802-060-0</t>
  </si>
  <si>
    <t>209000.08.01</t>
  </si>
  <si>
    <t>НРЭ: Т.15(1): Сент-Китс и Невис - Соединенные / Ред.кол. А.Д.Некипелов и др.-М.:Энц.,НИЦ ИНФРА-М,2021-496с(п)</t>
  </si>
  <si>
    <t>НОВАЯ РОССИЙСКАЯ ЭНЦИКЛОПЕДИЯ: ТОМ 15(1): СЕНТ-КИТС И НЕВИС - СОЕДИНЕННЫЕ</t>
  </si>
  <si>
    <t>978-5-94802-061-7</t>
  </si>
  <si>
    <t>236000.05.01</t>
  </si>
  <si>
    <t>НРЭ: Т.15(2): Соединительная - Сухой / Ред.кол.Некипелов А.Д. и др.-М.:НИЦ ИНФРА-М,Энц.,2019-496с(П)</t>
  </si>
  <si>
    <t>НОВАЯ РОССИЙСКАЯ ЭНЦИКЛОПЕДИЯ: ТОМ15(2): СОЕДИНИТЕЛЬНАЯ - СУХОЙ, Т.15</t>
  </si>
  <si>
    <t>978-5-94802-062-4</t>
  </si>
  <si>
    <t>237000.04.01</t>
  </si>
  <si>
    <t>НРЭ: Т.16(1): Сухо-Токо / Ред.кол. А.Д.Некипелов и др. - М.:Энц.,НИЦ ИНФРА-М,2019-495с.(П) [12+]</t>
  </si>
  <si>
    <t>НОВАЯ РОССИЙСКАЯ ЭНЦИКЛОПЕДИЯ: ТОМ 16(1): СУХО-ТОКО, Т.16</t>
  </si>
  <si>
    <t>978-5-94802-063-1</t>
  </si>
  <si>
    <t>238000.05.01</t>
  </si>
  <si>
    <t>НРЭ: Т.16(2): Токоферолы-Ульские / Ред.кол.А.Д. Некипелов и др. - М.:Энц.,НИЦ ИНФРА-М, 2021 -496с. (п)</t>
  </si>
  <si>
    <t>НОВАЯ РОССИЙСКАЯ ЭНЦИКЛОПЕДИЯ: ТОМ 16(2): ТОКОФЕРОЛЫ-УЛЬСКИЕ</t>
  </si>
  <si>
    <t>632540.07.01</t>
  </si>
  <si>
    <t>НРЭ: Т.17(1): Ультразвук - Франко-Прусская / Ред.кол. Некипелов А.Д. и др.-М.:Энц., НИЦ ИНФРА-М,2021 496с(п)</t>
  </si>
  <si>
    <t>НОВАЯ РОССИЙСКАЯ ЭНЦИКЛОПЕДИЯ: ТОМ 17(1): УЛЬТРАЗВУК - ФРАНКО-ПРУССКАЯ</t>
  </si>
  <si>
    <t>978-5-94802-068-6</t>
  </si>
  <si>
    <t>641433.07.01</t>
  </si>
  <si>
    <t>НРЭ: Т.17(2): Франц- Цзин / Ред.кол. Некипелов А.Д.и др. - М.:Энц.,НИЦ ИНФРА-М, 2021 -496с-(П)</t>
  </si>
  <si>
    <t>НОВАЯ РОССИЙСКАЯ ЭНЦИКЛОПЕДИЯ: ТОМ 17(2): ФРАНЦ- ЦЗИН</t>
  </si>
  <si>
    <t>Некипелов А.Д., Данилов-Данилъян В.И.</t>
  </si>
  <si>
    <t>Библиотека Новой Российской энциклопедии</t>
  </si>
  <si>
    <t>978-5-94802-073-0</t>
  </si>
  <si>
    <t>Общее образование</t>
  </si>
  <si>
    <t>653332.03.01</t>
  </si>
  <si>
    <t>НРЭ: Т.18(1): Цзинь-Швеция / Ред. кол. А.Д.Некипелов и др. -М.:Энц., НИЦ ИНФРА-М,2019.-512 с.(П) [12+]</t>
  </si>
  <si>
    <t>НОВАЯ РОССИЙСКАЯ ЭНЦИКЛОПЕДИЯ: ТОМ 18(1): ЦЗИНЬ-ШВЕЦИЯ, Т.18</t>
  </si>
  <si>
    <t>Переплет 7 + 1 тиснение + блинт</t>
  </si>
  <si>
    <t>978-5-94802-088-4</t>
  </si>
  <si>
    <t>659318.03.01</t>
  </si>
  <si>
    <t>НРЭ: Т.18(2): Швецов-Эмаль / Ред.кол. Некипелов А.Д. и др. -М.:Энц.,НИЦ ИНФРА-М,2019.-480 с.(П)</t>
  </si>
  <si>
    <t>НОВАЯ РОССИЙСКАЯ ЭНЦИКЛОПЕДИЯ: ТОМ 18(2): ШВЕЦОВ-ЭМАЛЬ</t>
  </si>
  <si>
    <t>Переплет 7 + 2 тиснение + блинт</t>
  </si>
  <si>
    <t>978-5-94802-097-6</t>
  </si>
  <si>
    <t>668019.02.01</t>
  </si>
  <si>
    <t>НРЭ: Т.19(1): Эмаль- Япет / Ред.кол. А.Д.Некипелов и др. - М.:Энц., НИЦ ИНФРА-М,2019 - 480 с.(П)</t>
  </si>
  <si>
    <t>НОВАЯ РОССИЙСКАЯ ЭНЦИКЛОПЕДИЯ: ТОМ 19(1): ЭМАЛЬ- ЯПЕТ</t>
  </si>
  <si>
    <t>978-5-94802-103-4</t>
  </si>
  <si>
    <t>681241.03.01</t>
  </si>
  <si>
    <t>НРЭ: Т.19(2): Япон- Ящур / Ред.кол. А.Д.Некипелов и др. - М.:Энц., НИЦ ИНФРА-М,2020 - 448 с.(П)</t>
  </si>
  <si>
    <t>НОВАЯ РОССИЙСКАЯ ЭНЦИКЛОПЕДИЯ: ТОМ 19(2): ЯПОН-ЯЩУР</t>
  </si>
  <si>
    <t>978-5-94802-104-1</t>
  </si>
  <si>
    <t>050007.08.01</t>
  </si>
  <si>
    <t>НРЭ: Т.5(2): Дардан - Дрейер / Ред.кол. Некипелов А.Д. и др. - М.:Энц.:ИНФРА-М,2018-480с.(п)</t>
  </si>
  <si>
    <t>НОВАЯ РОССИЙСКАЯ ЭНЦИКЛОПЕДИЯ: ТОМ 5(2): ДАРДАН - ДРЕЙЕР</t>
  </si>
  <si>
    <t>978-5-94802-030-3</t>
  </si>
  <si>
    <t>00.03.04, 00.03.05, 00.03.07, 00.03.10, 00.03.11, 00.03.12, 00.03.13, 00.05.04, 00.05.05, 00.05.07, 00.05.08, 00.05.10, 00.05.11, 00.05.12, 00.05.13</t>
  </si>
  <si>
    <t>822797.01.01</t>
  </si>
  <si>
    <t>О должн. лицах сис. МВД РФ, уполномоч. составл. протоколы об адм. правонар...- М.:НИЦ ИНФРА-М,2024.-16 с.(о)</t>
  </si>
  <si>
    <t>О ДОЛЖНОСТНЫХ ЛИЦАХ СИСТЕМЫ МИНИСТЕРСТВА ВНУТРЕННИХ ДЕЛ РОССИЙСКОЙ ФЕДЕРАЦИИ, УПОЛНОМОЧЕННЫХ СОСТАВЛЯТЬ ПРОТОКОЛЫ ОБ АДМИНИСТРАТИВНЫХ ПРАВОНАРУШЕНИЯХ И ОСУЩЕСТВЛЯТЬ АДМИНИСТРАТИВНОЕ ЗАДЕРЖАНИЕ</t>
  </si>
  <si>
    <t>978-5-16-019691-6</t>
  </si>
  <si>
    <t>40.02.02, 40.02.04, 40.03.01, 40.05.02, 40.05.04, 46.03.02</t>
  </si>
  <si>
    <t>780625.06.01</t>
  </si>
  <si>
    <t>О несении службы участковым уполномоченным полиции: инструкция - 2 изд. - М.:НИЦ ИНФРА-М,2025. - 62 с.(О)</t>
  </si>
  <si>
    <t>О НЕСЕНИИ СЛУЖБЫ УЧАСТКОВЫМ УПОЛНОМОЧЕННЫМ ПОЛИЦИИ НА ОБСЛУЖИВАЕМОМ АДМИНИСТРАТИВНОМ УЧАСТКЕ И ОРГАНИЗАЦИИ ЭТОЙ ДЕЯТЕЛЬНОСТИ, ИЗД.2</t>
  </si>
  <si>
    <t>978-5-16-019953-5</t>
  </si>
  <si>
    <t>10.05.05, 40.02.02, 40.02.04, 40.03.01, 40.05.01, 40.05.02, 40.05.03, 40.05.04</t>
  </si>
  <si>
    <t>780625.03.01</t>
  </si>
  <si>
    <t>О несении службы участковым уполномоченным полиции: инструкция - М.:НИЦ ИНФРА-М,2024.-61 с.(О)</t>
  </si>
  <si>
    <t>О НЕСЕНИИ СЛУЖБЫ УЧАСТКОВЫМ УПОЛНОМОЧЕННЫМ ПОЛИЦИИ НА ОБСЛУЖИВАЕМОМ АДМИНИСТРАТИВНОМ УЧАСТКЕ И ОРГАНИЗАЦИИ ЭТОЙ ДЕЯТЕЛЬНОСТИ</t>
  </si>
  <si>
    <t>978-5-16-017758-8</t>
  </si>
  <si>
    <t>764759.04.01</t>
  </si>
  <si>
    <t>О службе в органах внутр. дел РФ и внесении изменений. ФЗ - М.:НИЦ ИНФРА-М,2023 - 142 с.(О)</t>
  </si>
  <si>
    <t>О СЛУЖБЕ В ОРГАНАХ ВНУТРЕННИХ ДЕЛ РОССИЙСКОЙ ФЕДЕРАЦИИ И ВНЕСЕНИИ ИЗМЕНЕНИЙ В ОТДЕЛЬНЫЕ ЗАКОНОДАТЕЛЬНЫЕ АКТЫ РОССИЙСКОЙ ФЕДЕРАЦИИ</t>
  </si>
  <si>
    <t>978-5-16-017169-2</t>
  </si>
  <si>
    <t>788727.02.01</t>
  </si>
  <si>
    <t>О статусе военнослужащих - 2 изд. - М.:НИЦ ИНФРА-М,2024. - 124 с.-(Федеральные нормы и правила)(о)</t>
  </si>
  <si>
    <t>О СТАТУСЕ ВОЕННОСЛУЖАЩИХ: ФЕДЕРАЛЬНЫЙ ЗАКОН, ИЗД.2</t>
  </si>
  <si>
    <t>978-5-16-020295-2</t>
  </si>
  <si>
    <t>788727.01.01</t>
  </si>
  <si>
    <t>О статусе военнослужащих : ФЗ. -М.:НИЦ ИНФРА-М,2022.-115 с..-(Федеральные нормы и правила)(о)</t>
  </si>
  <si>
    <t>О СТАТУСЕ ВОЕННОСЛУЖАЩИХ: ФЕДЕРАЛЬНЫЙ ЗАКОН</t>
  </si>
  <si>
    <t>978-5-16-017927-8</t>
  </si>
  <si>
    <t>788727.04.01</t>
  </si>
  <si>
    <t>О статусе военнослужащих: ФЗ - 3 изд. - М.:НИЦ ИНФРА-М,2025. - 130 с.(Федеральные нормы и правила)(о)</t>
  </si>
  <si>
    <t>О СТАТУСЕ ВОЕННОСЛУЖАЩИХ: ФЕДЕРАЛЬНЫЙ ЗАКОН, ИЗД.3</t>
  </si>
  <si>
    <t>978-5-16-020872-5</t>
  </si>
  <si>
    <t>744091.03.01</t>
  </si>
  <si>
    <t>Об арбитраже (третейском разбирательстве) в РФ №382-ФЗ - М.:НИЦ ИНФРА-М,2022 - 60 с.(О)</t>
  </si>
  <si>
    <t>ОБ АРБИТРАЖЕ (ТРЕТЕЙСКОМ РАЗБИРАТЕЛЬСТВЕ) В РФ №382-ФЗ</t>
  </si>
  <si>
    <t>978-5-16-016481-6</t>
  </si>
  <si>
    <t>40.02.02, 40.03.01</t>
  </si>
  <si>
    <t>744114.03.01</t>
  </si>
  <si>
    <t>Об арбитражных судах в РФ №1-ФКЗ - М.:НИЦ ИНФРА-М,2022 - 40 с.(О)</t>
  </si>
  <si>
    <t>ОБ АРБИТРАЖНЫХ СУДАХ В РФ №1-ФКЗ</t>
  </si>
  <si>
    <t>978-5-16-016482-3</t>
  </si>
  <si>
    <t>754329.01.01</t>
  </si>
  <si>
    <t>Об обязательном гос. страховании жизни и здоровья военнослужащих, граждан... - М.:НИЦ ИНФРА-М,2021-16 с.(О)</t>
  </si>
  <si>
    <t>ОБ ОБЯЗАТЕЛЬНОМ ГОСУДАРСТВЕННОМ СТРАХОВАНИИ ЖИЗНИ И ЗДОРОВЬЯ ВОЕННОСЛУЖАЩИХ, ГРАЖДАН, ПРИЗВАННЫХ НА ВОЕННЫЕ СБОРЫ, ЛИЦ РЯДОВОГО И НАЧАЛЬСТВУЮЩЕГО СОСТАВА ОРГАНОВ ВНУТРЕННИХ ДЕЛ РФ</t>
  </si>
  <si>
    <t>978-5-16-016850-0</t>
  </si>
  <si>
    <t>39.03.02, 40.03.01</t>
  </si>
  <si>
    <t>764758.01.01</t>
  </si>
  <si>
    <t>Об учреждениях и органах, исполняющих уголов. наказ. в виде лиш. свободы - М.:НИЦ ИНФРА-М,2021 - 48 с.(О)</t>
  </si>
  <si>
    <t>ОБ УЧРЕЖДЕНИЯХ И ОРГАНАХ, ИСПОЛНЯЮЩИХ УГОЛОВНЫЕ НАКАЗАНИЯ В ВИДЕ ЛИШЕНИЯ СВОБОДЫ</t>
  </si>
  <si>
    <t>978-5-16-017170-8</t>
  </si>
  <si>
    <t>40.02.02, 40.03.01, 40.04.01, 40.05.02, 40.06.01, 56.05.01</t>
  </si>
  <si>
    <t>357600.03.01</t>
  </si>
  <si>
    <t>Обвинение и оправдание в постсовет. угол. юстиции / В.В.Волков-М.:Юр.Норма, НИЦ ИНФРА-М,2018.-320 с.</t>
  </si>
  <si>
    <t>ОБВИНЕНИЕ И ОПРАВДАНИЕ В ПОСТСОВЕТСКОЙ УГОЛОВНОЙ ЮСТИЦИИ</t>
  </si>
  <si>
    <t>Волков В.В.</t>
  </si>
  <si>
    <t>978-5-91768-620-2</t>
  </si>
  <si>
    <t>40.02.02, 40.02.04, 40.03.01, 40.06.01, 44.03.05</t>
  </si>
  <si>
    <t>Институт проблем правоприменения</t>
  </si>
  <si>
    <t>708168.02.01</t>
  </si>
  <si>
    <t>Образ жизни и проф. факторы риска здоровью педагога: Моногр. / Е.А.Багнетова, - 2 изд.-М.:НИЦ ИНФРА-М,2023.-100с(О)</t>
  </si>
  <si>
    <t>ОБРАЗ ЖИЗНИ И ПРОФЕССИОНАЛЬНЫЕ ФАКТОРЫ РИСКА ЗДОРОВЬЮ ПЕДАГОГА, ИЗД.2</t>
  </si>
  <si>
    <t>Багнетова Е.А.</t>
  </si>
  <si>
    <t>978-5-16-015359-9</t>
  </si>
  <si>
    <t>Сургутский государственный педагогический университет</t>
  </si>
  <si>
    <t>808796.01.01</t>
  </si>
  <si>
    <t>Образовательная миграция в РФ: роль в развит. сис..: Моногр. / Т.В.Лебедева-М.:НИЦ ИНФРА-М,2024.-188 с.(о)</t>
  </si>
  <si>
    <t>ОБРАЗОВАТЕЛЬНАЯ МИГРАЦИЯ В РОССИЙСКУЮ ФЕДЕРАЦИЮ: РОЛЬ В РАЗВИТИИ СИСТЕМЫ ВЫСШЕГО ОБРАЗОВАНИЯ</t>
  </si>
  <si>
    <t>Лебедева Т.В.</t>
  </si>
  <si>
    <t>978-5-16-019096-9</t>
  </si>
  <si>
    <t>38.04.04</t>
  </si>
  <si>
    <t>Московский государственный университет им. М.В. Ломоносова, Высшая школа современных социальных наук</t>
  </si>
  <si>
    <t>703564.05.01</t>
  </si>
  <si>
    <t>Образовательная програм. как инструмент сис. управ...: Моногр. / М.С.Логачев. - М.:НИЦ ИНФРА-М,2025 - 166 с.(О)</t>
  </si>
  <si>
    <t>ОБРАЗОВАТЕЛЬНАЯ ПРОГРАММА КАК ИНСТРУМЕНТ СИСТЕМЫ УПРАВЛЕНИЯ КАЧЕСТВОМ ПРОФЕССИОНАЛЬНОГО ОБРАЗОВАНИЯ</t>
  </si>
  <si>
    <t>Логачев М.С., Ткачева Г.В., Самарин Ю.Н.</t>
  </si>
  <si>
    <t>978-5-16-014934-9</t>
  </si>
  <si>
    <t>684972.01.01</t>
  </si>
  <si>
    <t>Образовательная яз. политика в совр. мире: Моногр. Т.1 / М.А.Марусенко-М.:НИЦ ИНФРА-М,2024.-387 с.(п)</t>
  </si>
  <si>
    <t>ОБРАЗОВАТЕЛЬНАЯ ЯЗЫКОВАЯ ПОЛИТИКА В СОВРЕМЕННОМ МИРЕ, Т.1</t>
  </si>
  <si>
    <t>978-5-16-018263-6</t>
  </si>
  <si>
    <t>44.04.01, 45.04.01, 45.06.01</t>
  </si>
  <si>
    <t>АКАДЕМУС-2022, Победитель, I место</t>
  </si>
  <si>
    <t>799314.02.01</t>
  </si>
  <si>
    <t>Образовательная яз. политика в совр. мире: Т.2: Моногр. / М.А.Марусенко-М.:НИЦ ИНФРА-М,2025.-330 с.(п)</t>
  </si>
  <si>
    <t>ОБРАЗОВАТЕЛЬНАЯ ЯЗЫКОВАЯ ПОЛИТИКА В СОВРЕМЕННОМ МИРЕ, Т.2</t>
  </si>
  <si>
    <t>978-5-16-018372-5</t>
  </si>
  <si>
    <t>44.04.01, 44.06.01, 45.04.02, 45.06.01</t>
  </si>
  <si>
    <t>849965.01.01</t>
  </si>
  <si>
    <t>Образовательный потенциал языковых дисциплин в вузах ФСИН России / Т.Е.Алексеева. - М.:НИЦ ИНФРА-М,2025. - 213 с.(о)</t>
  </si>
  <si>
    <t>ОБРАЗОВАТЕЛЬНЫЙ ПОТЕНЦИАЛ ЯЗЫКОВЫХ ДИСЦИПЛИН В ВУЗАХ ФСИН РОССИИ</t>
  </si>
  <si>
    <t>Алексеева Т.Е., Андреева Г.Б., Буробина С.В. и др.</t>
  </si>
  <si>
    <t>978-5-16-021087-2</t>
  </si>
  <si>
    <t>44.06.01</t>
  </si>
  <si>
    <t>775776.01.01</t>
  </si>
  <si>
    <t>Обретение книги: Марсель Пруст...: Моногр. / А.Н.Таганов-М.:НИЦ ИНФРА-М,2022.-271 с.(Науч.мысль)(О)</t>
  </si>
  <si>
    <t>ОБРЕТЕНИЕ КНИГИ: МАРСЕЛЬ ПРУСТ В ПОИСКАХ УТРАЧЕННОГО ВРЕМЕНИ</t>
  </si>
  <si>
    <t>Таганов А.Н.</t>
  </si>
  <si>
    <t>978-5-16-017625-3</t>
  </si>
  <si>
    <t>44.03.05, 45.04.01, 45.06.01</t>
  </si>
  <si>
    <t>800533.01.01</t>
  </si>
  <si>
    <t>Обучение в вузе в совр. условиях: взгляд психолога: Моногр. / Е.В.Сухова-М.:НИЦ ИНФРА-М,2024.-195 с(о)</t>
  </si>
  <si>
    <t>ОБУЧЕНИЕ В ВУЗЕ В СОВРЕМЕННЫХ УСЛОВИЯХ: ВЗГЛЯД ПСИХОЛОГА</t>
  </si>
  <si>
    <t>Сухова Е.В.</t>
  </si>
  <si>
    <t>978-5-16-018383-1</t>
  </si>
  <si>
    <t>Медицинский университет "Реавиз"</t>
  </si>
  <si>
    <t>800886.01.01</t>
  </si>
  <si>
    <t>Обучение иностранным языкам и метод. творчество учителя: Моногр. / Н.В.Барышников-М.:НИЦ ИНФРА-М,2024.-187 с.(о)</t>
  </si>
  <si>
    <t>ОБУЧЕНИЕ ИНОСТРАННЫМ ЯЗЫКАМ И МЕТОДИЧЕСКОЕ ТВОРЧЕСТВО УЧИТЕЛЯ</t>
  </si>
  <si>
    <t>Барышников Н.В.</t>
  </si>
  <si>
    <t>978-5-16-018382-4</t>
  </si>
  <si>
    <t>44.04.01, 44.04.02, 44.04.04, 44.06.01</t>
  </si>
  <si>
    <t>Пятигорский государственный университет</t>
  </si>
  <si>
    <t>847267.01.01</t>
  </si>
  <si>
    <t>Обучение реш. текстовых арифметич. задач млад. шк..: Моногр. / И.М.Яковлева - М.:НИЦ ИНФРА-М,2025. - 181 с.(о)</t>
  </si>
  <si>
    <t>ОБУЧЕНИЕ РЕШЕНИЮ ТЕКСТОВЫХ АРИФМЕТИЧЕСКИХ ЗАДАЧ МЛАДШИХ ШКОЛЬНИКОВ С УМСТВЕННОЙ ОТСТАЛОСТЬЮ (ИНТЕЛЛЕКТУАЛЬНЫМИ НАРУШЕНИЯМИ)</t>
  </si>
  <si>
    <t>Яковлева И.М., Скира Е.В.</t>
  </si>
  <si>
    <t>978-5-16-020635-6</t>
  </si>
  <si>
    <t>44.04.03, 44.06.01</t>
  </si>
  <si>
    <t>777499.04.01</t>
  </si>
  <si>
    <t>Обучение рус. яз. и развитие метапредметных умений...: Моногр. / А.Г.Биба - М.:НИЦ ИНФРА-М,2025 - 160 с.(О)</t>
  </si>
  <si>
    <t>ОБУЧЕНИЕ РУССКОМУ ЯЗЫКУ И РАЗВИТИЕ МЕТАПРЕДМЕТНЫХ УМЕНИЙ УЧАЩИХСЯ В КЛАССАХ ИНКЛЮЗИВНОГО НАЧАЛЬНОГО ОБРАЗОВАНИЯ</t>
  </si>
  <si>
    <t>Биба А.Г.</t>
  </si>
  <si>
    <t>978-5-16-017740-3</t>
  </si>
  <si>
    <t>40.05.02, 40.05.04, 44.03.01, 44.03.05, 44.04.03, 44.06.01</t>
  </si>
  <si>
    <t>296000.05.01</t>
  </si>
  <si>
    <t>Общая геология: твиты о Земле / Н.В.Короновский - М.:НИЦ ИНФРА-М,2020 - 154 с.(О)</t>
  </si>
  <si>
    <t>ОБЩАЯ ГЕОЛОГИЯ: ТВИТЫ О ЗЕМЛЕ</t>
  </si>
  <si>
    <t>Короновский Н.В.</t>
  </si>
  <si>
    <t>978-5-16-011823-9</t>
  </si>
  <si>
    <t>Твитбук</t>
  </si>
  <si>
    <t>05.03.01</t>
  </si>
  <si>
    <t>063346.11.01</t>
  </si>
  <si>
    <t>Общая экология: Курс лекций / В.В.Маврищев - 3 изд. - М.:НИЦ ИНФРА-М,2025 - 299 с.(ВО)(п)</t>
  </si>
  <si>
    <t>ОБЩАЯ ЭКОЛОГИЯ, ИЗД.3</t>
  </si>
  <si>
    <t>Маврищев В. В.</t>
  </si>
  <si>
    <t>978-5-16-004684-6</t>
  </si>
  <si>
    <t>00.03.12, 00.05.12</t>
  </si>
  <si>
    <t>Белорусский государственный педагогический университет им. М. Танка</t>
  </si>
  <si>
    <t>0311</t>
  </si>
  <si>
    <t>654694.15.01</t>
  </si>
  <si>
    <t>Общевоинские уставы Вооруженных сил РФ: Сб. док, - 7 изд.-М.:НИЦ ИНФРА-М,2024.-717 с.(П)</t>
  </si>
  <si>
    <t>ОБЩЕВОИНСКИЕ УСТАВЫ ВООРУЖЕННЫХ СИЛ РФ, ИЗД.7</t>
  </si>
  <si>
    <t>978-5-16-018426-5</t>
  </si>
  <si>
    <t>56.04.01, 56.04.02, 56.04.03, 56.04.04, 56.04.05, 56.04.06, 56.04.07, 56.04.08, 56.04.09, 56.04.10, 56.04.11, 56.04.12, 56.05.01, 56.05.02, 56.05.03, 56.05.04</t>
  </si>
  <si>
    <t>0723</t>
  </si>
  <si>
    <t>654694.17.01</t>
  </si>
  <si>
    <t>Общевоинские уставы Вооруженных сил РФ: Сб. док, - 8 изд. - М.:НИЦ ИНФРА-М,2025. - 724 с.(П)</t>
  </si>
  <si>
    <t>ОБЩЕВОИНСКИЕ УСТАВЫ ВООРУЖЕННЫХ СИЛ РФ, ИЗД.8</t>
  </si>
  <si>
    <t>978-5-16-019939-9</t>
  </si>
  <si>
    <t>0824</t>
  </si>
  <si>
    <t>654694.18.01</t>
  </si>
  <si>
    <t>Общевоинские уставы Вооруженных сил РФ: Сб. док. - 9 изд. - М.:НИЦ ИНФРА-М,2026. - 726 с.(п)</t>
  </si>
  <si>
    <t>ОБЩЕВОИНСКИЕ УСТАВЫ ВООРУЖЕННЫХ СИЛ РОССИЙСКОЙ ФЕДЕРАЦИИ, ИЗД.9</t>
  </si>
  <si>
    <t>978-5-16-021503-7</t>
  </si>
  <si>
    <t>0926</t>
  </si>
  <si>
    <t>654694.08.01</t>
  </si>
  <si>
    <t>Общевоинские уставы Вооруженных сил РФ: Сб. документов - 5 изд. - М.:НИЦ ИНФРА-М,2021 - 717 с.(П)</t>
  </si>
  <si>
    <t>ОБЩЕВОИНСКИЕ УСТАВЫ ВООРУЖЕННЫХ СИЛ РФ, ИЗД.5</t>
  </si>
  <si>
    <t>978-5-16-017009-1</t>
  </si>
  <si>
    <t>654694.02.01</t>
  </si>
  <si>
    <t>Общевоинские уставы Вооруженных сил РФ: Сборник документов - М.:НИЦ ИНФРА-М,2017 - 696 с.(П)</t>
  </si>
  <si>
    <t>ОБЩЕВОИНСКИЕ УСТАВЫ ВООРУЖЕННЫХ СИЛ РФ</t>
  </si>
  <si>
    <t>978-5-16-012687-6</t>
  </si>
  <si>
    <t>398800.08.01</t>
  </si>
  <si>
    <t>Общение с природой начинается с детства: Моногр. / С.Н.Николаева, - 2 изд. - М.:НИЦ ИНФРА-М,2025 - 216 с.(О)</t>
  </si>
  <si>
    <t>ОБЩЕНИЕ С ПРИРОДОЙ НАЧИНАЕТСЯ С ДЕТСТВА, ИЗД.2</t>
  </si>
  <si>
    <t>Николаева С.Н.</t>
  </si>
  <si>
    <t>978-5-16-011274-9</t>
  </si>
  <si>
    <t>44.03.02, 44.03.03, 44.03.04, 44.03.05, 44.04.01, 44.04.02, 44.04.03, 44.04.04, 44.05.01</t>
  </si>
  <si>
    <t>862884.01.01</t>
  </si>
  <si>
    <t>Общероссийский классификатор проф. рабочих, должностей...ОК 016-2025 - М.:НИЦ ИНФРА-М,2026. - 386 с.(п)</t>
  </si>
  <si>
    <t>ОБЩЕРОССИЙСКИЙ КЛАССИФИКАТОР ПРОФЕССИЙ РАБОЧИХ, ДОЛЖНОСТЕЙ СЛУЖАЩИХ И ТАРИФНЫХ РАЗРЯДОВ ОК 016-2025</t>
  </si>
  <si>
    <t>978-5-16-021237-1</t>
  </si>
  <si>
    <t>38.03.03, 38.04.03, 40.03.01</t>
  </si>
  <si>
    <t>823171.01.01</t>
  </si>
  <si>
    <t>Общество и школа: вызовы и ответы: Моногр. / Д.Г.Левитес - М.:НИЦ ИНФРА-М,2025 - 218 с.(Науч.мысль)(о)</t>
  </si>
  <si>
    <t>ОБЩЕСТВО И ШКОЛА: ВЫЗОВЫ И ОТВЕТЫ</t>
  </si>
  <si>
    <t>Левитес Д.Г.</t>
  </si>
  <si>
    <t>978-5-16-019948-1</t>
  </si>
  <si>
    <t>Мурманский арктический университет</t>
  </si>
  <si>
    <t>369400.05.01</t>
  </si>
  <si>
    <t>Общие основания религий: Монография / С.Ю.Поройков - М.:НИЦ ИНФРА-М,2022 - 313 с.-(Науч.мысль)(О)</t>
  </si>
  <si>
    <t>ОБЩИЕ ОСНОВАНИЯ РЕЛИГИЙ</t>
  </si>
  <si>
    <t>Поройков С.Ю.</t>
  </si>
  <si>
    <t>978-5-16-011007-3</t>
  </si>
  <si>
    <t>44.03.05, 47.06.01</t>
  </si>
  <si>
    <t>660119.04.01</t>
  </si>
  <si>
    <t>Окказионализмы - признак.слова в идиолекте Н.С. Лескова: Моногр. / О.А.Головачева-М.:НИЦ ИНФРА-М,2025-129c</t>
  </si>
  <si>
    <t>ОККАЗИОНАЛИЗМЫ - ПРИЗНАКОВЫЕ СЛОВА В ИДИОЛЕКТЕ Н.С. ЛЕСКОВА</t>
  </si>
  <si>
    <t>Головачева О.А.</t>
  </si>
  <si>
    <t>978-5-16-013088-0</t>
  </si>
  <si>
    <t>Брянский государственный университет им. академика И.Г. Петровского</t>
  </si>
  <si>
    <t>777227.03.01</t>
  </si>
  <si>
    <t>Ономастическое пространство памятников письм. Киев. Руси: Моногр./Е.Н.Соколова-М.:НИЦ ИНФРА-М,2024-274с.(О)</t>
  </si>
  <si>
    <t>ОНОМАСТИЧЕСКОЕ ПРОСТРАНСТВО ПАМЯТНИКОВ ПИСЬМЕННОСТИ КИЕВСКОЙ РУСИ</t>
  </si>
  <si>
    <t>Соколова Е.Н.</t>
  </si>
  <si>
    <t>978-5-16-017711-3</t>
  </si>
  <si>
    <t>45.04.03, 51.04.03</t>
  </si>
  <si>
    <t>Тюменский государственный университет</t>
  </si>
  <si>
    <t>АКАДЕМУС-2021, Победитель, II место</t>
  </si>
  <si>
    <t>817381.01.01</t>
  </si>
  <si>
    <t>Онтология цифры: Монография / С.В.Григоришин и др.-М.:НИЦ ИНФРА-М,2024.-141 с..-(Науч.мысль)(о)</t>
  </si>
  <si>
    <t>ОНТОЛОГИЯ ЦИФРЫ</t>
  </si>
  <si>
    <t>Григоришин С.В., Петров А.М., Попов А.Н.</t>
  </si>
  <si>
    <t>978-5-16-019402-8</t>
  </si>
  <si>
    <t>766458.08.01</t>
  </si>
  <si>
    <t>Оперативно-розыскная деят. в цифр. мире: Сб. / Под ред. Овчинского В.С.-М.:НИЦ ИНФРА-М,2024.-630 с.(П)</t>
  </si>
  <si>
    <t>ОПЕРАТИВНО-РОЗЫСКНАЯ ДЕЯТЕЛЬНОСТЬ В ЦИФРОВОМ МИРЕ</t>
  </si>
  <si>
    <t>Овчинский В.С.</t>
  </si>
  <si>
    <t>978-5-16-017227-9</t>
  </si>
  <si>
    <t>40.03.01, 40.04.01, 40.05.01, 40.05.02, 40.05.03, 40.06.01</t>
  </si>
  <si>
    <t>786502.02.01</t>
  </si>
  <si>
    <t>Оперативно-розыскная деят. и совр.: Сб. науч. труд. / Под ред. Овчинского В.С.-М.:НИЦ ИНФРА-М,2023.-412 с.(П)</t>
  </si>
  <si>
    <t>ОПЕРАТИВНО-РОЗЫСКНАЯ ДЕЯТЕЛЬНОСТЬ И СОВРЕМЕННОСТЬ</t>
  </si>
  <si>
    <t>978-5-16-017873-8</t>
  </si>
  <si>
    <t>10.05.05, 38.05.01, 40.02.02, 40.04.01, 40.05.01, 40.05.02, 40.05.03, 40.05.04, 40.06.01</t>
  </si>
  <si>
    <t>636768.01.01</t>
  </si>
  <si>
    <t>Определения Апелляц. коллегии Верх. Суда РФ..: Сб. / Г.В.Манохина - М:Норма,НИЦ ИНФРА-М,2016-704с(П)</t>
  </si>
  <si>
    <t>ОПРЕДЕЛЕНИЯ АПЕЛЛЯЦИОННОЙ КОЛЛЕГИИ ВЕРХОВНОГО СУДА  РФ ПО АДМИНИСТРАТИВНЫМ ДЕЛАМ 2015</t>
  </si>
  <si>
    <t>Манохина Г.В., Кокарева О.А.</t>
  </si>
  <si>
    <t>978-5-91768-754-4</t>
  </si>
  <si>
    <t>Верховный Суд Российской Федерации</t>
  </si>
  <si>
    <t>636770.01.01</t>
  </si>
  <si>
    <t>Определения ВС  РФ по делам об оспарив..: Сб. / Л.А.Калинина-М.:Юр.Норма, НИЦ ИНФРА-М,2016.-720с.(П)</t>
  </si>
  <si>
    <t>ОПРЕДЕЛЕНИЯ ВЕРХОВНОГО СУДА  РФ ПО ДЕЛАМ ОБ ОСПАРИВАНИИ НОРМАТИВНЫХ ПРАВОВЫХ АКТОВ СУБЪЕКТОВ РФ. 2015</t>
  </si>
  <si>
    <t>Калинина Л.А., Бондарева Ю.С., Лебедев В.М.</t>
  </si>
  <si>
    <t>978-5-91768-755-1</t>
  </si>
  <si>
    <t>640622.01.01</t>
  </si>
  <si>
    <t>Определения ВС РФ по гражданским....2015:Сборник / Е.С.Гетман-М.:Юр.Норма, НИЦ ИНФРА-М,2016-784с.(П)</t>
  </si>
  <si>
    <t>ОПРЕДЕЛЕНИЯ ВС РФ ПО ГРАЖДАНСКИМ, ТРУДОВЫМ, СОЦИАЛЬНЫМ И ЭКОНОМИЧЕСКИМ СПОРАМ. 2015</t>
  </si>
  <si>
    <t>Гетман Е.С., Кликушин А.А., Пчелинцева Л.М. и др.</t>
  </si>
  <si>
    <t>978-5-91768-765-0</t>
  </si>
  <si>
    <t>776706.01.01</t>
  </si>
  <si>
    <t>Организация воспитательной работы в совр. вузе.../ Под ред. Ивановой В.А.-М.:НИЦ ИНФРА-М,2023.-195 с.(п)</t>
  </si>
  <si>
    <t>ОРГАНИЗАЦИЯ ВОСПИТАТЕЛЬНОЙ РАБОТЫ В СОВРЕМЕННОМ ВУЗЕ: ТРАДИЦИИ И НОВАЦИИ</t>
  </si>
  <si>
    <t>Иванова В.А., Алябьева Е.В., Богданова М.М. и др.</t>
  </si>
  <si>
    <t>978-5-16-017855-4</t>
  </si>
  <si>
    <t>44.04.01, 44.04.02, 44.06.01, 51.04.03</t>
  </si>
  <si>
    <t>Финансовый университет при Правительстве Российской Федерации, Алтайский ф-л</t>
  </si>
  <si>
    <t>657350.05.01</t>
  </si>
  <si>
    <t>Организация исслед. деят. в процессе обуч...: Моногр. / П.Ю.Романов. - М.:НИЦ ИНФРА.2026  - 260 с.(о)</t>
  </si>
  <si>
    <t>ОРГАНИЗАЦИЯ ИССЛЕДОВАТЕЛЬСКОЙ ДЕЯТЕЛЬНОСТИ В ПРОЦЕССЕ ОБУЧЕНИЯ ЕСТЕСТВЕННОНАУЧНЫМ ДИСЦИПЛИНАМ В ШКОЛЕ И ВУЗЕ</t>
  </si>
  <si>
    <t>Романов П.Ю., Злыднева Т.П., Романова Т.Е. и др.</t>
  </si>
  <si>
    <t>978-5-16-019187-4</t>
  </si>
  <si>
    <t>44.03.01, 44.03.04, 44.04.01, 44.04.04</t>
  </si>
  <si>
    <t>Магнитогорский государственный технический университет им. Г.И. Носова</t>
  </si>
  <si>
    <t>786995.01.01</t>
  </si>
  <si>
    <t>Организация профильного обуч. шк. по индивидуал. учеб. планам / Н.И.Постникова-М.:НИЦ ИНФРА-М,2023.-167 с(О)</t>
  </si>
  <si>
    <t>ОРГАНИЗАЦИЯ ПРОФИЛЬНОГО ОБУЧЕНИЯ ШКОЛЬНИКОВ ПО ИНДИВИДУАЛЬНЫМ УЧЕБНЫМ ПЛАНАМ</t>
  </si>
  <si>
    <t>Постникова Н.И.</t>
  </si>
  <si>
    <t>978-5-16-017917-9</t>
  </si>
  <si>
    <t>44.04.01, 44.04.04, 44.06.01</t>
  </si>
  <si>
    <t>772575.01.01</t>
  </si>
  <si>
    <t>Основы  экосоциогуманизма: Моногр. / В.С.Голубев-М.:НИЦ ИНФРА-М,2022.-158 с.(О)</t>
  </si>
  <si>
    <t>ОСНОВЫ ЭКОСОЦИОГУМАНИЗМА</t>
  </si>
  <si>
    <t>Голубев В.С.</t>
  </si>
  <si>
    <t>978-5-16-017476-1</t>
  </si>
  <si>
    <t>37.03.01, 47.06.01</t>
  </si>
  <si>
    <t>МЕЖДУНАРОДНЫЙ НАУЧНО-ИССЛЕДОВАТЕЛЬСКИЙ ИНСТИТУТ ПРОБЛЕМ УПРАВЛЕНИЯ</t>
  </si>
  <si>
    <t>845596.03.01</t>
  </si>
  <si>
    <t>Основы визажистики / Е.Н.Зубова - М.:НИЦ ИНФРА-М,2026 - 191 с.- (Интересно знать) (п)</t>
  </si>
  <si>
    <t>ОСНОВЫ ВИЗАЖИСТИКИ</t>
  </si>
  <si>
    <t>Зубова Е.Н.</t>
  </si>
  <si>
    <t>978-5-16-020478-9</t>
  </si>
  <si>
    <t>43.02.17</t>
  </si>
  <si>
    <t>845614.04.01</t>
  </si>
  <si>
    <t>Основы мастерства публич. общения: Науч.-поп. изд. / Г.С.Обухова - М.:НИЦ ИНФРА-М,2025. - 99 с. [12+](о)</t>
  </si>
  <si>
    <t>ОСНОВЫ МАСТЕРСТВА ПУБЛИЧНОГО ОБЩЕНИЯ</t>
  </si>
  <si>
    <t>Обухова Г.С., Климова Г.Л.</t>
  </si>
  <si>
    <t>978-5-16-020480-2</t>
  </si>
  <si>
    <t>38.03.05, 41.03.06, 42.03.01, 44.03.01, 51.03.06</t>
  </si>
  <si>
    <t>800200.02.01</t>
  </si>
  <si>
    <t>Основы стилевой дидактики в совр. шк.: Моногр. / С.А.Старченко - М.:НИЦ ИНФРА-М,2025. - 214 с.(о)</t>
  </si>
  <si>
    <t>ОСНОВЫ СТИЛЕВОЙ ДИДАКТИКИ В СОВРЕМЕННОЙ ШКОЛЕ</t>
  </si>
  <si>
    <t>Старченко С.А.</t>
  </si>
  <si>
    <t>978-5-16-018356-5</t>
  </si>
  <si>
    <t>44.03.05, 44.04.01, 44.06.01</t>
  </si>
  <si>
    <t>Троицкий педагогический колледж</t>
  </si>
  <si>
    <t>846300.02.01</t>
  </si>
  <si>
    <t>Основы финансовой грамотности: Научно-поп. изд. / А.П.Гарнов - М.:НИЦ ИНФРА-М,2025 - 192 с. [16+](п)</t>
  </si>
  <si>
    <t>ОСНОВЫ ФИНАНСОВОЙ ГРАМОТНОСТИ</t>
  </si>
  <si>
    <t>Гарнов А.П.</t>
  </si>
  <si>
    <t>978-5-16-020491-8</t>
  </si>
  <si>
    <t>27.03.05</t>
  </si>
  <si>
    <t>846333.04.01</t>
  </si>
  <si>
    <t>Основы флористики / И.С.Шевченко - М.:НИЦ ИНФРА-М,2026 - 269 с.(Интересно знать) [16+](п)</t>
  </si>
  <si>
    <t>ОСНОВЫ ФЛОРИСТИКИ</t>
  </si>
  <si>
    <t>Шевченко И.С.</t>
  </si>
  <si>
    <t>978-5-16-020494-9</t>
  </si>
  <si>
    <t>43.01.11</t>
  </si>
  <si>
    <t>Южно-Уральский государственный университет (национальный исследовательский университет)</t>
  </si>
  <si>
    <t>278200.07.01</t>
  </si>
  <si>
    <t>Основы эвалюации в упр.качеством обр.: Моногр. / М.В.Гуськова - М.:НИЦ ИНФРА-М,2022 - 204 с.(Науч.мысль)(о)</t>
  </si>
  <si>
    <t>ОСНОВЫ ЭВАЛЮАЦИИ В УПРАВЛЕНИИ КАЧЕСТВОМ ОБРАЗОВАНИЯ</t>
  </si>
  <si>
    <t>Гуськова М.В.</t>
  </si>
  <si>
    <t>978-5-16-009807-4</t>
  </si>
  <si>
    <t>641997.05.01</t>
  </si>
  <si>
    <t>Особенности проф.-ориентир.обуч.в компет.обр. простр.: Моногр/Е.А.Макарова-М.:НИЦ ИНФРА-М,2024-128с.</t>
  </si>
  <si>
    <t>ОСОБЕННОСТИ ПРОФЕССИОНАЛЬНО-ОРИЕНТИРОВАННОГО ОБУЧЕНИЯ В КОМПЕТЕНТНОСТНОМ ОБРАЗОВАТЕЛЬНОМ ПРОСТРАНСТВЕ</t>
  </si>
  <si>
    <t>Макарова Е.А., Макарова Е.Л.</t>
  </si>
  <si>
    <t>978-5-16-012617-3</t>
  </si>
  <si>
    <t>Таганрогский институт управления и экономики</t>
  </si>
  <si>
    <t>733985.03.01</t>
  </si>
  <si>
    <t>Особенности психологич. базиса чт. умственно отсталых шк...: Моногр. / В.В.Ткачева-М.:НИЦ ИНФРА-М,2024-215с(О)</t>
  </si>
  <si>
    <t>ОСОБЕННОСТИ ПСИХОЛОГИЧЕСКОГО БАЗИСА ЧТЕНИЯ УМСТВЕННО ОТСТАЛЫХ ШКОЛЬНИКОВ СО СЛОЖНЫМИ НАРУШЕНИЯМИ РАЗВИТИЯ</t>
  </si>
  <si>
    <t>Ткачева В.В., Каткова И.А.</t>
  </si>
  <si>
    <t>978-5-16-016440-3</t>
  </si>
  <si>
    <t>44.03.03, 44.04.03, 44.05.01, 44.06.01</t>
  </si>
  <si>
    <t>816579.01.01</t>
  </si>
  <si>
    <t>От теизма — к эготеизму: генезис отнош. чел. и Бога: Моногр. / Е.Ф.Казаков-М.:НИЦ ИНФРА-М,2024.-211 с.(п)</t>
  </si>
  <si>
    <t>ОТ ТЕИЗМА — К ЭГОТЕИЗМУ: ГЕНЕЗИС ОТНОШЕНИЙ ЧЕЛОВЕКА И БОГА</t>
  </si>
  <si>
    <t>978-5-16-019395-3</t>
  </si>
  <si>
    <t>47.03.01, 47.03.03, 47.04.01, 47.06.01, 48.03.01, 48.04.01, 48.06.01</t>
  </si>
  <si>
    <t>144900.07.01</t>
  </si>
  <si>
    <t>Отечественная история: Курс лекций / С.П.Бычков-М.:Форум, НИЦ ИНФРА-М,2024.-320 с.(ВО)(п)</t>
  </si>
  <si>
    <t>ОТЕЧЕСТВЕННАЯ ИСТОРИЯ. КУРС ЛЕКЦИЙ</t>
  </si>
  <si>
    <t>Бычков С. П., Дусь Ю. П.</t>
  </si>
  <si>
    <t>978-5-91134-490-0</t>
  </si>
  <si>
    <t>00.03.04, 00.05.04</t>
  </si>
  <si>
    <t>803464.01.01</t>
  </si>
  <si>
    <t>Оценка сост. и перспектив развития образоват. орг.: Моногр./Н.В.Васильченко-М.:НИЦ ИНФРА-М,2024.-189 с.(о)</t>
  </si>
  <si>
    <t>ОЦЕНКА СОСТОЯНИЯ И ПЕРСПЕКТИВ РАЗВИТИЯ ОБРАЗОВАТЕЛЬНЫХ ОРГАНИЗАЦИЙ: ТЕОРИЯ И ПРАКТИКА</t>
  </si>
  <si>
    <t>Васильченко Н.В., Ломакина Т.Ю.</t>
  </si>
  <si>
    <t>978-5-16-019086-0</t>
  </si>
  <si>
    <t>44.03.01, 44.04.01, 44.04.02, 44.06.01</t>
  </si>
  <si>
    <t>791869.01.01</t>
  </si>
  <si>
    <t>Очерки методики преподавания рус.яз. как иностр. / Под ред. Милуд М.Р. - М.:НИЦ ИНФРА-М,2024.-137 с.(о)</t>
  </si>
  <si>
    <t>ОЧЕРКИ МЕТОДИКИ ПРЕПОДАВАНИЯ РУССКОГО ЯЗЫКА КАК ИНОСТРАННОГО</t>
  </si>
  <si>
    <t>Гезайли Н., Милуд М.Р.</t>
  </si>
  <si>
    <t>978-5-16-018114-1</t>
  </si>
  <si>
    <t>44.04.01, 44.04.02, 44.04.04, 44.06.01, 45.04.01, 45.06.01</t>
  </si>
  <si>
    <t>652087.06.01</t>
  </si>
  <si>
    <t>Очерки по истории методики обуч. математ. (до 1917г.): Моногр. / О.А.Саввина-М:НИЦ ИНФРА-М,2025-189с(п)</t>
  </si>
  <si>
    <t>ОЧЕРКИ ПО ИСТОРИИ МЕТОДИКИ ОБУЧЕНИЯ МАТЕМАТИКЕ (ДО 1917Г.)</t>
  </si>
  <si>
    <t>Саввина О.А.</t>
  </si>
  <si>
    <t>978-5-16-012615-9</t>
  </si>
  <si>
    <t>44.03.01, 44.03.03, 44.03.05</t>
  </si>
  <si>
    <t>656388.04.01</t>
  </si>
  <si>
    <t>Памятники книжного эпоса Запада и Востока: Моногр. / С.Ю.Неклюдов - М.:НИЦ ИНФРА-М,2024 - 482 с.(о)</t>
  </si>
  <si>
    <t>ПАМЯТНИКИ КНИЖНОГО ЭПОСА ЗАПАДА И ВОСТОКА</t>
  </si>
  <si>
    <t>Неклюдов С.Ю., Петров Н.В., Аникеева Т.А. и др.</t>
  </si>
  <si>
    <t>978-5-16-019430-1</t>
  </si>
  <si>
    <t>45.00.00, 44.03.05, 45.06.01, 45.07.01, 51.03.02</t>
  </si>
  <si>
    <t>Российский государственный гуманитарный университет РГГУ</t>
  </si>
  <si>
    <t>824327.01.01</t>
  </si>
  <si>
    <t>Память и природа психики: Моногр. / Л.В.Черемошкина - М.:НИЦ ИНФРА-М,2025 - 356 с.(Науч.мысль)(п)</t>
  </si>
  <si>
    <t>ПАМЯТЬ И ПРИРОДА ПСИХИКИ</t>
  </si>
  <si>
    <t>Черемошкина Л.В.</t>
  </si>
  <si>
    <t>978-5-16-020289-1</t>
  </si>
  <si>
    <t>37.04.01, 37.05.01, 37.05.02</t>
  </si>
  <si>
    <t>747393.01.01</t>
  </si>
  <si>
    <t>Панантропея: Монография / С.В.Борзых - М.:НИЦ ИНФРА-М,2021 - 147 с.(Науч.мысль)(О)</t>
  </si>
  <si>
    <t>ПАНАНТРОПЕЯ</t>
  </si>
  <si>
    <t>978-5-16-016704-6</t>
  </si>
  <si>
    <t>АКАДЕМУС-2020, Победитель</t>
  </si>
  <si>
    <t>334800.05.01</t>
  </si>
  <si>
    <t>Педагогика Махабхараты: Монография / А.А.Гагаев - М.:ИЦ РИОР,ИНФРА-М,2025. - 246 с.(Научная мысль)(О)</t>
  </si>
  <si>
    <t>ПЕДАГОГИКА МАХАБХАРАТЫ</t>
  </si>
  <si>
    <t>Гагаев А.А., Гагаев П.А.</t>
  </si>
  <si>
    <t>978-5-369-01421-9</t>
  </si>
  <si>
    <t>40.03.01, 44.03.01, 44.03.04, 44.03.05, 44.04.02</t>
  </si>
  <si>
    <t>Пензенский государственный университет</t>
  </si>
  <si>
    <t>170950.06.01</t>
  </si>
  <si>
    <t>Педагогика рус. богослов. мысли: Моногр. / А.А. Гагаев - 2 изд-М:ИЦ РИОР,НИЦ ИНФРА-М,2023-191с(Науч.мысль)(О)</t>
  </si>
  <si>
    <t>ПЕДАГОГИКА РУССКОЙ БОГОСЛОВСКОЙ МЫСЛИ, ИЗД.2</t>
  </si>
  <si>
    <t>978-5-369-01512-4</t>
  </si>
  <si>
    <t>44.03.01, 44.03.04, 44.03.05, 44.04.04, 46.03.01, 46.04.01, 47.03.03, 47.04.03, 48.03.01, 48.04.01</t>
  </si>
  <si>
    <t>707164.04.01</t>
  </si>
  <si>
    <t>Педагогика: Моногр. / Я.С.Турбовской - М.:НИЦ ИНФРА-М,2026. - 209 с.(Науч.мысль)(О)</t>
  </si>
  <si>
    <t>ПЕДАГОГИКА</t>
  </si>
  <si>
    <t>978-5-16-016499-1</t>
  </si>
  <si>
    <t>44.03.01, 44.04.01, 44.04.02, 44.04.03, 44.04.04, 44.05.01, 44.06.01</t>
  </si>
  <si>
    <t>646398.04.01</t>
  </si>
  <si>
    <t>Педагогические аспекты проблемы обесп. безоп. детей..:Моногр./Л.Л.Тимофеева-М.:НИЦ ИНФРА-М,2024-205с</t>
  </si>
  <si>
    <t>ПЕДАГОГИЧЕСКИЕ АСПЕКТЫ ПРОБЛЕМЫ ОБЕСПЕЧЕНИЯ БЕЗОПАСНОСТИ ДЕТЕЙ: ИСТОРИКО-КУЛЬТУРНЫЙ АНАЛИЗ</t>
  </si>
  <si>
    <t>Тимофеева Л.Л.</t>
  </si>
  <si>
    <t>978-5-16-014039-1</t>
  </si>
  <si>
    <t>Институт развития образования, Орловская область</t>
  </si>
  <si>
    <t>798749.01.01</t>
  </si>
  <si>
    <t>Педагогические условия формир. проф. компетентности учителя... / С.С.Савельева-М.:НИЦ ИНФРА-М,2023-215с(п)</t>
  </si>
  <si>
    <t>ПЕДАГОГИЧЕСКИЕ УСЛОВИЯ ФОРМИРОВАНИЯ ПРОФЕССИОНАЛЬНОЙ КОМПЕТЕНТНОСТИ УЧИТЕЛЯ В ОБРАЗОВАТЕЛЬНОМ ПРОЦЕССЕ ВУЗА</t>
  </si>
  <si>
    <t>Савельева С.С.</t>
  </si>
  <si>
    <t>978-5-16-018240-7</t>
  </si>
  <si>
    <t>Государственный социально-гуманитарный университет</t>
  </si>
  <si>
    <t>489200.10.01</t>
  </si>
  <si>
    <t>Педагогический словарь: Словарь / И.П.Андриади - М.:НИЦ ИНФРА-М,2025-224с.(Б-ка.сл."Инфра-М")(П)</t>
  </si>
  <si>
    <t>ПЕДАГОГИЧЕСКИЙ СЛОВАРЬ</t>
  </si>
  <si>
    <t>Андриади И.П., Темина С.Ю.</t>
  </si>
  <si>
    <t>978-5-16-011752-2</t>
  </si>
  <si>
    <t>44.03.01, 44.03.02, 44.03.05, 44.04.01, 44.04.02, 44.05.01</t>
  </si>
  <si>
    <t>765084.01.01</t>
  </si>
  <si>
    <t>Педагогический терминологич. словарь / И.А.Тютькова - М.:НИЦ ИНФРА-М,2025. - 186 с.(Б-ка сл. ИНФРА-М) [12+](п)</t>
  </si>
  <si>
    <t>ПЕДАГОГИЧЕСКИЙ ТЕРМИНОЛОГИЧЕСКИЙ СЛОВАРЬ</t>
  </si>
  <si>
    <t>Тютькова И.А.</t>
  </si>
  <si>
    <t>978-5-16-020073-6</t>
  </si>
  <si>
    <t>44.03.01, 44.03.02, 44.03.03, 44.03.04, 44.03.05, 44.04.01, 44.04.02, 44.04.03, 44.04.04, 44.05.01, 44.06.01, 44.07.01, 44.07.02</t>
  </si>
  <si>
    <t>064350.02.01</t>
  </si>
  <si>
    <t>Педиатрия / В.А. Доскин. - М.: Энциклопедия, 2008. - 384 с. - (Справ. практ. врача). (карм. формат) (п)</t>
  </si>
  <si>
    <t>ПЕДИАТРИЯ</t>
  </si>
  <si>
    <t>Доскин В. А.</t>
  </si>
  <si>
    <t>Справочники практического врача</t>
  </si>
  <si>
    <t>5-94802-010-X</t>
  </si>
  <si>
    <t>Российская медицинская академия непрерывного профессионального образования</t>
  </si>
  <si>
    <t>0105</t>
  </si>
  <si>
    <t>860644.01.01</t>
  </si>
  <si>
    <t>Персонализированное адаптив. обуч. в цифр. среде вуза / Ю.В.Вайнштейн - М.:НИЦ ИНФРА-М, СФУ,2026. - 194 с.(п)</t>
  </si>
  <si>
    <t>ПЕРСОНАЛИЗИРОВАННОЕ АДАПТИВНОЕ ОБУЧЕНИЕ В ЦИФРОВОЙ СРЕДЕ ВУЗА</t>
  </si>
  <si>
    <t>Вайнштейн Ю.В.</t>
  </si>
  <si>
    <t>978-5-16-021346-0</t>
  </si>
  <si>
    <t>44.04.01</t>
  </si>
  <si>
    <t>737557.04.01</t>
  </si>
  <si>
    <t>Персоноцентризм в классич. рус. лит. XIX в.: Моногр. / А.Н.Андреев - М.:НИЦ ИНФРА-М,2025 - 430 с.(О)</t>
  </si>
  <si>
    <t>ПЕРСОНОЦЕНТРИЗМ В КЛАССИЧЕСКОЙ РУССКОЙ ЛИТЕРАТУРЕ XIX ВЕКА. ДИАЛЕКТИКА ХУДОЖЕСТВЕННОГО СОЗНАНИЯ</t>
  </si>
  <si>
    <t>Андреев А.Н.</t>
  </si>
  <si>
    <t>978-5-16-016307-9</t>
  </si>
  <si>
    <t>400650.04.01</t>
  </si>
  <si>
    <t>Платон: Монография / В.С.Нерсесянц - 2 изд. - М.: Юр.Норма, НИЦ ИНФРА-М,2018 - 112 с.(О)</t>
  </si>
  <si>
    <t>ПЛАТОН</t>
  </si>
  <si>
    <t>Нерсесянц В.С.</t>
  </si>
  <si>
    <t>978-5-91768-306-5</t>
  </si>
  <si>
    <t>40.03.01, 40.04.01, 40.05.01, 40.05.02, 40.05.03, 44.03.05</t>
  </si>
  <si>
    <t>400650.09.01</t>
  </si>
  <si>
    <t>Платон: монография / В.С.Нерсесянц, - 2 изд. - М.:Юр. НОРМА, НИЦ ИНФРА-М,2025. - 112 с.(о)</t>
  </si>
  <si>
    <t>ПЛАТОН, ИЗД.2</t>
  </si>
  <si>
    <t>843272.01.01</t>
  </si>
  <si>
    <t>Плоские фермы. Прогибы и частоты колебаний: Справ. / М.Н.Кирсанов - М.:НИЦ ИНФРА-М,2025. - 196 с.(п)</t>
  </si>
  <si>
    <t>ПЛОСКИЕ ФЕРМЫ. ПРОГИБЫ И ЧАСТОТЫ КОЛЕБАНИЙ</t>
  </si>
  <si>
    <t>Кирсанов М.Н.</t>
  </si>
  <si>
    <t>978-5-16-020432-1</t>
  </si>
  <si>
    <t>Строительство</t>
  </si>
  <si>
    <t>08.03.01, 08.04.01, 08.05.02</t>
  </si>
  <si>
    <t>Московский энергетический институт</t>
  </si>
  <si>
    <t>792103.01.01</t>
  </si>
  <si>
    <t>Плоские фермы. Схемы и расчетные формулы: справ. Т. 2 / М.Н.Кирсанов-М.:НИЦ ИНФРА-М,2023.-285 с.(п)</t>
  </si>
  <si>
    <t>ПЛОСКИЕ ФЕРМЫ. СХЕМЫ И РАСЧЕТНЫЕ ФОРМУЛЫ: СПРАВОЧНИК. ТОМ 2, Т.2</t>
  </si>
  <si>
    <t>978-5-16-018185-1</t>
  </si>
  <si>
    <t>08.02.01, 08.03.01, 08.04.01, 08.05.01, 08.05.02, 08.05.03, 08.06.01</t>
  </si>
  <si>
    <t>799025.01.01</t>
  </si>
  <si>
    <t>Плоские фермы. Схемы и расчетные формулы: Справ. Т. 3 / М.Н.Кирсанов-М.:НИЦ ИНФРА-М,2023.-178 с.(п)</t>
  </si>
  <si>
    <t>ПЛОСКИЕ ФЕРМЫ. СХЕМЫ И РАСЧЕТНЫЕ ФОРМУЛЫ: СПРАВОЧНИК. ТОМ 3, Т.3</t>
  </si>
  <si>
    <t>978-5-16-018250-6</t>
  </si>
  <si>
    <t>08.02.01, 08.03.01, 08.04.01, 08.05.02</t>
  </si>
  <si>
    <t>699890.04.01</t>
  </si>
  <si>
    <t>Плоские фермы. Схемы и расчетные формулы: Т/ 1 / М.Н.Кирсанов - М.:НИЦ ИНФРА-М,2023 - 238 с.(П) [12+]</t>
  </si>
  <si>
    <t>ПЛОСКИЕ ФЕРМЫ. СХЕМЫ И РАСЧЕТНЫЕ ФОРМУЛЫ: СПРАВОЧНИК. ТОМ 1, Т.1</t>
  </si>
  <si>
    <t>978-5-16-014829-8</t>
  </si>
  <si>
    <t>07.02.01, 08.02.01, 08.02.02, 08.02.03, 08.02.04, 08.02.08, 08.02.09, 08.02.12, 08.02.13, 08.02.14, 08.03.01, 08.04.01, 08.05.01, 08.05.02, 08.05.03, 08.06.01, 11.02.06, 12.02.01, 12.02.03, 12.02.04, 12.02.05, 12.02.07, 12.02.08, 12.02.09, 13.02.01, 13.02.02, 13.02.04, 13.02.05, 13.02.07, 13.02.08, 13.02.09, 13.02.12, 13.02.13, 14.02.01, 14.02.02, 15.02.01, 15.02.03, 15.02.04, 15.02.06, 15.02.07, 15.02.09, 15.02.10, 15.02.16, 15.02.17, 15.02.18, 15.02.19, 18.02.10, 18.02.13, 19.02.11, 19.02.12, 20.02.02, 20.02.04, 20.02.06, 21.01.08, 21.01.17, 21.02.01, 21.02.02, 21.02.03, 21.02.09, 21.02.12, 21.02.14, 21.02.15, 21.02.16, 21.02.17, 21.02.18, 22.02.08, 23.01.02, 23.02.01, 23.02.02, 23.02.03, 23.02.04, 23.02.05, 23.02.06, 23.02.07, 23.02.08, 24.02.01, 24.02.02, 24.02.04, 25.02.01, 25.02.02, 25.02.03, 25.02.04, 25.02.05, 25.02.06, 25.02.07, 25.02.08, 26.02.04, 27.02.02, 27.02.04, 27.02.07, 29.02.05, 29.02.08, 29.02.11, 35.02.02, 35.02.07, 35.02.08, 35.02.11, 35.02.16, 35.02.18, 44.02.06</t>
  </si>
  <si>
    <t>788255.01.01</t>
  </si>
  <si>
    <t>По следам живого слова: Моногр. / А.И.Лазарев-М.:НИЦ ИНФРА-М,2024.-330 с.(Науч.мысль)(п)</t>
  </si>
  <si>
    <t>ПО СЛЕДАМ ЖИВОГО СЛОВА</t>
  </si>
  <si>
    <t>Лазарев А.И.</t>
  </si>
  <si>
    <t>978-5-16-018364-0</t>
  </si>
  <si>
    <t>44.04.01, 44.04.04, 44.06.01, 45.04.01, 45.06.01</t>
  </si>
  <si>
    <t>682879.06.01</t>
  </si>
  <si>
    <t>По страницам романа «Дворянское гнездо»: особ. идиостиля И.С.Тургенева / Т.П.Ковина-М.:НИЦ ИНФРА-М,2024-184с(о)</t>
  </si>
  <si>
    <t>ПО СТРАНИЦАМ РОМАНА «ДВОРЯНСКОЕ ГНЕЗДО»: ОСОБЕННОСТИ ИДИОСТИЛЯ И.С. ТУРГЕНЕВА</t>
  </si>
  <si>
    <t>Ковина Т.П.</t>
  </si>
  <si>
    <t>978-5-16-014041-4</t>
  </si>
  <si>
    <t>45.03.01, 45.03.02, 45.04.01, 45.04.02, 45.04.03</t>
  </si>
  <si>
    <t>Московский государственный технологический университет "Станкин"</t>
  </si>
  <si>
    <t>АКАДЕМУС-2018, Победитель</t>
  </si>
  <si>
    <t>098950.10.01</t>
  </si>
  <si>
    <t>Подготовка рукописи к изданию: Сл.-справ. / Е.Б.Егорова - 2 изд. - М.:Вуз.уч., НИЦ ИНФРА-М,2024-160 с.(О)</t>
  </si>
  <si>
    <t>ПОДГОТОВКА РУКОПИСИ К ИЗДАНИЮ, ИЗД.2</t>
  </si>
  <si>
    <t>Егорова Е.Б.</t>
  </si>
  <si>
    <t>978-5-9558-0474-3</t>
  </si>
  <si>
    <t>42.03.03, 42.04.03</t>
  </si>
  <si>
    <t>470300.07.01</t>
  </si>
  <si>
    <t>Подготовка студентов к обучению в аспирантуре вуза...: Моногр. / С.Д.Резник - М.:НИЦ ИНФРА-М,2024.-157 с (О)</t>
  </si>
  <si>
    <t>ПОДГОТОВКА СТУДЕНТОВ К ОБУЧЕНИЮ В АСПИРАНТУРЕ ВУЗА: СИСТЕМА И МЕХАНИЗМЫ УПРАВЛЕНИЯ</t>
  </si>
  <si>
    <t>Резник С.Д., Устинова Д.В.</t>
  </si>
  <si>
    <t>978-5-16-011570-2</t>
  </si>
  <si>
    <t>38.04.01, 38.04.02, 38.04.03, 38.04.04, 38.04.08, 38.04.09, 38.05.01, 38.05.02</t>
  </si>
  <si>
    <t>809414.01.01</t>
  </si>
  <si>
    <t>Позднеантичная эпистолография латинского Запада..: Моногр. / Е.В.Литовченко-М.:НИЦ ИНФРА-М,2024.-356 с.(п)</t>
  </si>
  <si>
    <t>ПОЗДНЕАНТИЧНАЯ ЭПИСТОЛОГРАФИЯ ЛАТИНСКОГО ЗАПАДА: ЧЕЛОВЕК НА СТЫКЕ ЭПОХ</t>
  </si>
  <si>
    <t>Литовченко Е.В.</t>
  </si>
  <si>
    <t>978-5-16-018937-6</t>
  </si>
  <si>
    <t>44.03.05</t>
  </si>
  <si>
    <t>766880.02.01</t>
  </si>
  <si>
    <t>Полина Абрамовна Лупинская: Вклад в развитие рос. уголов. судопроизводства / П.А.Лупинская-М.:Юр.Норма,2023.-320 с.(П)</t>
  </si>
  <si>
    <t>ПОЛИНА АБРАМОВНА ЛУПИНСКАЯ: ВКЛАД В РАЗВИТИЕ РОССИЙСКОГО УГОЛОВНОГО СУДОПРОИЗВОДСТВА</t>
  </si>
  <si>
    <t>Лупинская П.А.</t>
  </si>
  <si>
    <t>978-5-00156-205-4</t>
  </si>
  <si>
    <t>40.03.01, 40.04.01, 40.05.02, 40.05.03, 40.05.04, 40.06.01</t>
  </si>
  <si>
    <t>478350.05.01</t>
  </si>
  <si>
    <t>Политические произведения: Сб. / О.Шпенглер - М.:НИЦ ИНФРА-М,2024 - 318 с.-(Науч.мысль)(О)</t>
  </si>
  <si>
    <t>ПОЛИТИЧЕСКИЕ ПРОИЗВЕДЕНИЯ</t>
  </si>
  <si>
    <t>Шпенглер О., Афанасьев В.В.</t>
  </si>
  <si>
    <t>978-5-16-010282-5</t>
  </si>
  <si>
    <t>41.03.04, 41.04.04, 41.06.01</t>
  </si>
  <si>
    <t>165650.15.01</t>
  </si>
  <si>
    <t>Политический текст...: Моногр. / Под ред. Желтухиной М.Р. - 2 изд.-М.:НИЦ ИНФРА-М,2024.-155с(О)</t>
  </si>
  <si>
    <t>ПОЛИТИЧЕСКИЙ ТЕКСТ: ПСИХОЛИНГВИСТИЧЕСКИЙ АНАЛИЗ ВОЗДЕЙСТВИЯ НА ЭЛЕКТОРАТ, ИЗД.2</t>
  </si>
  <si>
    <t>Репина Е.А., Желтухина М.Р.</t>
  </si>
  <si>
    <t>978-5-16-018190-5</t>
  </si>
  <si>
    <t>37.03.01, 37.04.01, 41.03.04, 41.03.06, 41.04.04, 42.03.01, 42.04.01, 44.03.02, 44.04.02, 45.03.02, 45.04.02</t>
  </si>
  <si>
    <t>165650.12.01</t>
  </si>
  <si>
    <t>Политический текст: психолинг. анализ..: Моногр./ Под ред. Белянин В.П.-М.:НИЦ ИНФРА-М,2022.-90 с.(Науч. мысль)(О)</t>
  </si>
  <si>
    <t>ПОЛИТИЧЕСКИЙ ТЕКСТ: ПСИХОЛИНГВИСТИЧЕСКИЙ АНАЛИЗ ВОЗДЕЙСТВИЯ НА ЭЛЕКТОРАТ</t>
  </si>
  <si>
    <t>Репина Е.А., Шкуратов В.А., Белянин В.П.</t>
  </si>
  <si>
    <t>978-5-16-005215-1</t>
  </si>
  <si>
    <t>637304.15.01</t>
  </si>
  <si>
    <t>Положение о порядке прохождения военной службы - 10 изд. - М.:НИЦ ИНФРА-М,2024. - 104 с..-(о)</t>
  </si>
  <si>
    <t>ПОЛОЖЕНИЕ О ПОРЯДКЕ ПРОХОЖДЕНИЯ ВОЕННОЙ СЛУЖБЫ, ИЗД.10</t>
  </si>
  <si>
    <t>978-5-16-020120-7</t>
  </si>
  <si>
    <t>40.00.00, 00.03.01, 00.05.01</t>
  </si>
  <si>
    <t>1024</t>
  </si>
  <si>
    <t>637304.16.01</t>
  </si>
  <si>
    <t>Положение о порядке прохождения военной службы - 11 изд. - М.:НИЦ ИНФРА-М,2025 - 104 с.(о)</t>
  </si>
  <si>
    <t>ПОЛОЖЕНИЕ О ПОРЯДКЕ ПРОХОЖДЕНИЯ ВОЕННОЙ СЛУЖБЫ, ИЗД.11</t>
  </si>
  <si>
    <t>978-5-16-020870-1</t>
  </si>
  <si>
    <t>1125</t>
  </si>
  <si>
    <t>637304.07.01</t>
  </si>
  <si>
    <t>Положение о порядке прохождения военной службы - 5 изд. - М.:НИЦ ИНФРА-М,2021 - 98 с.(О)</t>
  </si>
  <si>
    <t>ПОЛОЖЕНИЕ О ПОРЯДКЕ ПРОХОЖДЕНИЯ ВОЕННОЙ СЛУЖБЫ, ИЗД.5</t>
  </si>
  <si>
    <t>978-5-16-016989-7</t>
  </si>
  <si>
    <t>637304.12.01</t>
  </si>
  <si>
    <t>Положение о порядке прохождения военной службы - 9 изд.-М.:НИЦ ИНФРА-М,2023.-104 с.(о)</t>
  </si>
  <si>
    <t>ПОЛОЖЕНИЕ О ПОРЯДКЕ ПРОХОЖДЕНИЯ ВОЕННОЙ СЛУЖБЫ, ИЗД.9</t>
  </si>
  <si>
    <t>978-5-16-018668-9</t>
  </si>
  <si>
    <t>0923</t>
  </si>
  <si>
    <t>637304.08.01</t>
  </si>
  <si>
    <t>Положение о порядке прохождения военной службы: закон - 6 изд. - М.:НИЦ ИНФРА-М,2021 - 98 с.(О)</t>
  </si>
  <si>
    <t>ПОЛОЖЕНИЕ О ПОРЯДКЕ ПРОХОЖДЕНИЯ ВОЕННОЙ СЛУЖБЫ, ИЗД.6</t>
  </si>
  <si>
    <t>978-5-16-017127-2</t>
  </si>
  <si>
    <t>0621</t>
  </si>
  <si>
    <t>637304.11.01</t>
  </si>
  <si>
    <t>Положение о порядке прохождения военной службы: закон РФ  - 8-е изд.-М.:НИЦ ИНФРА-М,2022.-100 с.(О)</t>
  </si>
  <si>
    <t>ПОЛОЖЕНИЕ О ПОРЯДКЕ ПРОХОЖДЕНИЯ ВОЕННОЙ СЛУЖБЫ, ИЗД.8</t>
  </si>
  <si>
    <t>978-5-16-017677-2</t>
  </si>
  <si>
    <t>0822</t>
  </si>
  <si>
    <t>637304.10.01</t>
  </si>
  <si>
    <t>Положение о порядке прохождения военной службы: закон рф - 7 изд.-М.:НИЦ ИНФРА-М,2022.-98 с.(О)</t>
  </si>
  <si>
    <t>ПОЛОЖЕНИЕ О ПОРЯДКЕ ПРОХОЖДЕНИЯ ВОЕННОЙ СЛУЖБЫ, ИЗД.7</t>
  </si>
  <si>
    <t>978-5-16-017207-1</t>
  </si>
  <si>
    <t>0721</t>
  </si>
  <si>
    <t>767390.02.01</t>
  </si>
  <si>
    <t>Полярный и Приполярный Урал: Путеводитель по перевалам / А.В.Затонский-М.:НИЦ ИНФРА-М,2025.-306 с.:цв.ил.(П)</t>
  </si>
  <si>
    <t>ПОЛЯРНЫЙ И ПРИПОЛЯРНЫЙ УРАЛ: ПУТЕВОДИТЕЛЬ ПО ПЕРЕВАЛАМ</t>
  </si>
  <si>
    <t>Затонский А.В.</t>
  </si>
  <si>
    <t>978-5-16-017579-9</t>
  </si>
  <si>
    <t>Туризм. Путеводители</t>
  </si>
  <si>
    <t>05.03.02, 05.04.02, 41.03.02, 41.04.02, 43.03.02, 43.04.02</t>
  </si>
  <si>
    <t>Пермский национальный исследовательский политехнический университет, Березниковский ф-л</t>
  </si>
  <si>
    <t>822800.02.01</t>
  </si>
  <si>
    <t>Порядок осущ. надзора за соблюд. участниками дорож. движ. треб. законодательства РФ-М.:НИЦ ИНФРА-М,2024.-108 с.(о)</t>
  </si>
  <si>
    <t>ПОРЯДОК ОСУЩЕСТВЛЕНИЯ НАДЗОРА ЗА СОБЛЮДЕНИЕМ УЧАСТНИКАМИ ДОРОЖНОГО ДВИЖЕНИЯ ТРЕБОВАНИЙ ЗАКОНОДАТЕЛЬСТВА РОССИЙСКОЙ ФЕДЕРАЦИИ О БЕЗОПАСНОСТИ ДОРОЖНОГО ДВИЖЕНИЯ</t>
  </si>
  <si>
    <t>978-5-16-019686-2</t>
  </si>
  <si>
    <t>40.02.02, 40.03.01, 40.04.01, 40.05.02</t>
  </si>
  <si>
    <t>242100.14.01</t>
  </si>
  <si>
    <t>Постановка сис. бюджет. управ., или три коорд. бизнеса... / М.М.Панов - М.:НИЦ ИНФРА-М,2026 - 304 с.(П)</t>
  </si>
  <si>
    <t>ПОСТАНОВКА СИСТЕМЫ БЮДЖЕТНОГО УПРАВЛЕНИЯ, ИЛИ ТРИ КООРДИНАТЫ БИЗНЕСА: БДР, БДДС, ББЛ</t>
  </si>
  <si>
    <t>Панов М.М.</t>
  </si>
  <si>
    <t>Просто, кратко, быстро</t>
  </si>
  <si>
    <t>978-5-16-009256-0</t>
  </si>
  <si>
    <t>38.03.01, 38.04.08</t>
  </si>
  <si>
    <t>667705.08.01</t>
  </si>
  <si>
    <t>Постижение природы и сущности чел...:Моногр. / А.А.Туман-Никифоров - М.:НИЦ ИНФРА-М, СФУ,2025-226с(о)</t>
  </si>
  <si>
    <t>ПОСТИЖЕНИЕ ПРИРОДЫ И СУЩНОСТИ ЧЕЛОВЕКА: ОТ ФИЛОСОФСКОЙ АНТРОПОЛОГИИ ДО ГУМАНОЛОГИИ</t>
  </si>
  <si>
    <t>Туман-Никифоров А.А., Туман-Никифорова И.О.</t>
  </si>
  <si>
    <t>978-5-16-018249-0</t>
  </si>
  <si>
    <t>Красноярский Государственный Аграрный Университет</t>
  </si>
  <si>
    <t>725297.02.01</t>
  </si>
  <si>
    <t>Поэзия Николая Перовского: Моногр. / В.К.Харченко - М.:НИЦ ИНФРА-М,2022 - 121 с.(Науч.мысль)(О)</t>
  </si>
  <si>
    <t>ПОЭЗИЯ НИКОЛАЯ ПЕРОВСКОГО</t>
  </si>
  <si>
    <t>978-5-16-015886-0</t>
  </si>
  <si>
    <t>818376.01.01</t>
  </si>
  <si>
    <t>Поэтика имени в творчестве И. А. Бунина: Моногр. / Я.В.Баженова-М.:НИЦ ИНФРА-М, СФУ,2024.-270 с.(о)</t>
  </si>
  <si>
    <t>ПОЭТИКА ИМЕНИ В ТВОРЧЕСТВЕ И. А. БУНИНА</t>
  </si>
  <si>
    <t>Баженова Я.В.</t>
  </si>
  <si>
    <t>978-5-16-019508-7</t>
  </si>
  <si>
    <t>45.03.99, 52.05.04</t>
  </si>
  <si>
    <t>440650.06.01</t>
  </si>
  <si>
    <t>Поэтика прозы Л.И. Бородина: диалог с культ.: Моногр./В.Д.Серафимова-М.:НИЦ ИНФРА-М,2024.-100 с.(О)</t>
  </si>
  <si>
    <t>ПОЭТИКА ПРОЗЫ Л.И. БОРОДИНА: ДИАЛОГ С КУЛЬТУРНЫМ ПРОСТРАНСТВОМ</t>
  </si>
  <si>
    <t>Серафимова В. Д.</t>
  </si>
  <si>
    <t>978-5-16-006773-5</t>
  </si>
  <si>
    <t>45.03.01, 45.04.01, 53.04.05</t>
  </si>
  <si>
    <t>821081.01.01</t>
  </si>
  <si>
    <t>Права чел. и совр. международные отношения: Сб. науч. трудов / В.А.Карташкин-М.:Юр. НОРМА,2024.-176 с.(п)</t>
  </si>
  <si>
    <t>ПРАВА ЧЕЛОВЕКА И СОВРЕМЕННЫЕ МЕЖДУНАРОДНЫЕ ОТНОШЕНИЯ</t>
  </si>
  <si>
    <t>Карташкин В.А.</t>
  </si>
  <si>
    <t>978-5-00156-356-3</t>
  </si>
  <si>
    <t>37.03.02, 38.04.04, 40.05.02, 41.03.04, 41.03.05, 41.04.05</t>
  </si>
  <si>
    <t>660065.05.01</t>
  </si>
  <si>
    <t>Правила безопасности сетей газораспределения и газопотребления - 2 изд.-М.:НИЦ ИНФРА-М,2023.-49 с.(О)</t>
  </si>
  <si>
    <t>ПРАВИЛА БЕЗОПАСНОСТИ СЕТЕЙ ГАЗОРАСПРЕДЕЛЕНИЯ И ГАЗОПОТРЕБЛЕНИЯ, ИЗД.2</t>
  </si>
  <si>
    <t>978-5-16-012925-9</t>
  </si>
  <si>
    <t>08.02.08</t>
  </si>
  <si>
    <t>660065.03.01</t>
  </si>
  <si>
    <t>Правила безопасности сетей газораспределения и газопотребления - М.:НИЦ ИНФРА-М,2019-44с.(О)</t>
  </si>
  <si>
    <t>ПРАВИЛА БЕЗОПАСНОСТИ СЕТЕЙ ГАЗОРАСПРЕДЕЛЕНИЯ И ГАЗОПОТРЕБЛЕНИЯ</t>
  </si>
  <si>
    <t>801713.05.01</t>
  </si>
  <si>
    <t>Правила внутр. распорядка учрежд. угол.-исполнит. сис..: Правила - 2- изд.-М.:НИЦ ИНФРА-М,2024.-296 с.(п)</t>
  </si>
  <si>
    <t>ПРАВИЛА ВНУТРЕННЕГО РАСПОРЯДКА УЧРЕЖДЕНИЙ УГОЛОВНО-ИСПОЛНИТЕЛЬНОЙ СИСТЕМЫ (ОБЪЕДИНЕННОЕ ИЗДАНИЕ), ИЗД.2</t>
  </si>
  <si>
    <t>978-5-16-020029-3</t>
  </si>
  <si>
    <t>40.02.02, 40.03.01, 40.05.01, 40.05.02, 40.05.04</t>
  </si>
  <si>
    <t>801713.03.01</t>
  </si>
  <si>
    <t>Правила внутр. распорядка учреждений уголовно-исполнит. сис... / Без автора-М.:НИЦ ИНФРА-М,2023.-289 с.(П)</t>
  </si>
  <si>
    <t>ПРАВИЛА ВНУТРЕННЕГО РАСПОРЯДКА УЧРЕЖДЕНИЙ УГОЛОВНО-ИСПОЛНИТЕЛЬНОЙ СИСТЕМЫ (ОБЪЕДИНЕННОЕ ИЗДАНИЕ)</t>
  </si>
  <si>
    <t>978-5-16-018732-7</t>
  </si>
  <si>
    <t>359700.14.01</t>
  </si>
  <si>
    <t>Правила по охране труда при эксплуатации электроустановок - 3 изд. - М.:НИЦ ИНФРА-М,2022-144 с.(О)</t>
  </si>
  <si>
    <t>ПРАВИЛА ПО ОХРАНЕ ТРУДА ПРИ ЭКСПЛУАТАЦИИ ЭЛЕКТРОУСТАНОВОК, ИЗД.3</t>
  </si>
  <si>
    <t>978-5-16-017110-4</t>
  </si>
  <si>
    <t>11.03.03, 11.03.04, 13.03.02, 21.02.15</t>
  </si>
  <si>
    <t>359700.19.01</t>
  </si>
  <si>
    <t>Правила по охране труда при эксплуатации электроустановок - 4 изд. - М.:НИЦ ИНФРА-М,2025. - 149 с.(О)</t>
  </si>
  <si>
    <t>ПРАВИЛА ПО ОХРАНЕ ТРУДА ПРИ ЭКСПЛУАТАЦИИ ЭЛЕКТРОУСТАНОВОК, ИЗД.4</t>
  </si>
  <si>
    <t>978-5-16-018015-1</t>
  </si>
  <si>
    <t>0423</t>
  </si>
  <si>
    <t>474400.04.01</t>
  </si>
  <si>
    <t>Правила противопожарного режима в Российской Федерации с 1 янв. 2021 г.: правила / -М.:НИЦ ИНФРА-М,2021.-104 с.(О)</t>
  </si>
  <si>
    <t>ПРАВИЛА ПРОТИВОПОЖАРНОГО РЕЖИМА В РОССИЙСКОЙ ФЕДЕРАЦИИ С 1 ЯНВАРЯ 2021 ГОДА</t>
  </si>
  <si>
    <t>978-5-16-016817-3</t>
  </si>
  <si>
    <t>00.03.01, 00.05.01</t>
  </si>
  <si>
    <t>753636.03.01</t>
  </si>
  <si>
    <t>Правила противопожарного режима для объектов торговли: правила - М.:НИЦ ИНФРА-М,2022.-40 с(О)</t>
  </si>
  <si>
    <t>ПРАВИЛА ПРОТИВОПОЖАРНОГО РЕЖИМА ДЛЯ ОБЪЕКТОВ ТОРГОВЛИ</t>
  </si>
  <si>
    <t>978-5-16-016818-0</t>
  </si>
  <si>
    <t>00.03.01, 00.05.01, 38.03.06, 38.04.06</t>
  </si>
  <si>
    <t>744960.01.01</t>
  </si>
  <si>
    <t>Правила тех. эксплуатации морских судов. Основное рук.РД 31.20.01-97 - М.:НИЦ ИНФРА-М,2022.-48 с.(О)</t>
  </si>
  <si>
    <t>ПРАВИЛА ТЕХНИЧЕСКОЙ ЭКСПЛУАТАЦИИ МОРСКИХ СУДОВ. ОСНОВНОЕ РУКОВОДСТВО РД 31.20.01-97</t>
  </si>
  <si>
    <t>978-5-16-016524-0</t>
  </si>
  <si>
    <t>26.02.02, 26.03.02, 26.04.01, 26.04.02, 26.05.01, 26.05.02, 26.05.03, 26.05.04, 26.05.05, 26.05.06, 26.05.07</t>
  </si>
  <si>
    <t>744961.02.01</t>
  </si>
  <si>
    <t>Правила тех. эксплуатации судовых технич. средств и конструкций РД 31.21.30-97 - М.:НИЦ ИНФРА-М,2025-327с(О)</t>
  </si>
  <si>
    <t>ПРАВИЛА ТЕХНИЧЕСКОЙ ЭКСПЛУАТАЦИИ СУДОВЫХ ТЕХНИЧЕСКИХ СРЕДСТВ И КОНСТРУКЦИЙ РД 31.21.30-97</t>
  </si>
  <si>
    <t>978-5-16-016525-7</t>
  </si>
  <si>
    <t>26.02.02, 26.02.03, 26.02.05, 26.03.01, 26.03.02, 26.04.01, 26.04.02, 26.05.01, 26.05.02, 26.05.03, 26.05.04, 26.05.05, 26.05.06, 26.05.07, 40.02.04</t>
  </si>
  <si>
    <t>662678.18.01</t>
  </si>
  <si>
    <t>Правила технич. эксплуатации Ж/Д РФ. Действ. с 1 авг. 2022 г. - 4 изд. - М.:НИЦ ИНФРА-М,2026 - 561 с.:цв.ил.(п)</t>
  </si>
  <si>
    <t>ПРАВИЛА ТЕХНИЧЕСКОЙ ЭКСПЛУАТАЦИИ ЖЕЛЕЗНЫХ ДОРОГ РОССИЙСКОЙ ФЕДЕРАЦИИ, ИЗД.4</t>
  </si>
  <si>
    <t>978-5-16-017988-9</t>
  </si>
  <si>
    <t>066660.11.01</t>
  </si>
  <si>
    <t>Правила технич. эксплуатации электроустановок потребителей: Правила - 3 изд.-М.:НИЦ ИНФРА-М,2024.-187 с.(о)</t>
  </si>
  <si>
    <t>ПРАВИЛА ТЕХНИЧЕСКОЙ ЭКСПЛУАТАЦИИ ЭЛЕКТРОУСТАНОВОК ПОТРЕБИТЕЛЕЙ, ИЗД.3</t>
  </si>
  <si>
    <t>978-5-16-020139-9</t>
  </si>
  <si>
    <t>13.03.01, 13.03.02, 13.04.01</t>
  </si>
  <si>
    <t>0324</t>
  </si>
  <si>
    <t>662678.03.01</t>
  </si>
  <si>
    <t>Правила технической эксплуатации Ж/Д РФ / -М.:НИЦ ИНФРА-М,2018-583с.(Федеральные нормы и правила)(П)</t>
  </si>
  <si>
    <t>ПРАВИЛА ТЕХНИЧЕСКОЙ ЭКСПЛУАТАЦИИ ЖЕЛЕЗНЫХ ДОРОГ РОССИЙСКОЙ ФЕДЕРАЦИИ</t>
  </si>
  <si>
    <t>978-5-16-013004-0</t>
  </si>
  <si>
    <t>662678.07.01</t>
  </si>
  <si>
    <t>Правила технической эксплуатации Ж/Д РФ/  - 2 изд., - М.:НИЦ ИНФРА-М,2020 - 620 с.(Федер. нормы и правила) (П)</t>
  </si>
  <si>
    <t>ПРАВИЛА ТЕХНИЧЕСКОЙ ЭКСПЛУАТАЦИИ ЖЕЛЕЗНЫХ ДОРОГ РОССИЙСКОЙ ФЕДЕРАЦИИ, ИЗД.2</t>
  </si>
  <si>
    <t>978-5-16-014748-2</t>
  </si>
  <si>
    <t>662678.12.01</t>
  </si>
  <si>
    <t>Правила технической эксплуатации Ж/Д РФ/  - 3 изд. - М.:НИЦ ИНФРА-М,2022 - 622 с.(Федер. нормы и правила) (П)</t>
  </si>
  <si>
    <t>ПРАВИЛА ТЕХНИЧЕСКОЙ ЭКСПЛУАТАЦИИ ЖЕЛЕЗНЫХ ДОРОГ РОССИЙСКОЙ ФЕДЕРАЦИИ, ИЗД.3</t>
  </si>
  <si>
    <t>0320</t>
  </si>
  <si>
    <t>066660.08.01</t>
  </si>
  <si>
    <t>Правила технической эксплуатации электроустановок потребителей- 2-е изд.- М.:НИЦ ИНФРА-М,2023.-436 с.(О)</t>
  </si>
  <si>
    <t>ПРАВИЛА ТЕХНИЧЕСКОЙ ЭКСПЛУАТАЦИИ ЭЛЕКТРОУСТАНОВОК ПОТРЕБИТЕЛЕЙ, ИЗД.2</t>
  </si>
  <si>
    <t>978-5-16-017237-8</t>
  </si>
  <si>
    <t>795903.02.01</t>
  </si>
  <si>
    <t>Правила устр. электроустановок (действ. разделы 6-го и 7-го изд.): правила / М.:НИЦ ИНФРА-М,2024.-832 с.</t>
  </si>
  <si>
    <t>ПРАВИЛА УСТРОЙСТВА ЭЛЕКТРОУСТАНОВОК (ДЕЙСТВУЮЩИЕ РАЗДЕЛЫ 6-ГО И 7-ГО ИЗДАНИЙ)</t>
  </si>
  <si>
    <t>978-5-16-018172-1</t>
  </si>
  <si>
    <t>08.02.09, 13.02.12, 13.02.13</t>
  </si>
  <si>
    <t>803176.01.01</t>
  </si>
  <si>
    <t>Правовая культура и правовая традиция: Сб. статей памяти Н. А. Крашенинниковой-М.:Юр. НОРМА,2023.-148 с.(п)</t>
  </si>
  <si>
    <t>ПРАВОВАЯ КУЛЬТУРА И ПРАВОВАЯ ТРАДИЦИЯ: СБОРНИК СТАТЕЙ ПАМЯТИ НИНЫ АЛЕКСАНДРОВНЫ КРАШЕНИННИКОВОЙ</t>
  </si>
  <si>
    <t>978-5-00156-301-3</t>
  </si>
  <si>
    <t>700292.04.01</t>
  </si>
  <si>
    <t>Правовое регулир. трансформации рос. образов...: Моногр. / А.Г.Чернявский и др. - М.ИНФРА-М,2026 - 174 с.(О)</t>
  </si>
  <si>
    <t>ПРАВОВОЕ РЕГУЛИРОВАНИЕ ТРАНСФОРМАЦИИ РОССИЙСКОГО ОБРАЗОВАНИЯ В УСЛОВИЯХ ГЛОБАЛИЗАЦИИ В СОЦИАЛЬНО-КУЛЬТУРНОЙ СРЕДЕ</t>
  </si>
  <si>
    <t>Чернявский А.Г., Бурьянов С.А., Кривенький А.И.</t>
  </si>
  <si>
    <t>978-5-16-014864-9</t>
  </si>
  <si>
    <t>40.03.01, 40.04.01, 44.03.01, 44.03.05</t>
  </si>
  <si>
    <t>853435.01.01</t>
  </si>
  <si>
    <t>Православие и русская литература: Моногр. / Р.А.Алексеев. - М.:НИЦ ИНФРА-М,2026. - 234 с.(Науч.мысль)(п)</t>
  </si>
  <si>
    <t>ПРАВОСЛАВИЕ И РУССКАЯ ЛИТЕРАТУРА</t>
  </si>
  <si>
    <t>Алексеев Р.А., Козьякова Н.С., Шакурова Н.Е.</t>
  </si>
  <si>
    <t>978-5-16-020919-7</t>
  </si>
  <si>
    <t>44.03.01, 44.03.05, 48.03.01</t>
  </si>
  <si>
    <t>665872.05.01</t>
  </si>
  <si>
    <t>Православная символика в ист. рус. словесности: Моногр. / И.В.Волосков-М.:НИЦ ИНФРА-М,2024.-130с.(О)</t>
  </si>
  <si>
    <t>ПРАВОСЛАВНАЯ СИМВОЛИКА В ИСТОРИИ РУССКОЙ СЛОВЕСНОСТИ</t>
  </si>
  <si>
    <t>Волосков И.В.</t>
  </si>
  <si>
    <t>978-5-16-013503-8</t>
  </si>
  <si>
    <t>45.03.01, 51.03.01, 51.03.06, 52.03.04, 52.03.05</t>
  </si>
  <si>
    <t>Национальный гуманитарный институт социального управления</t>
  </si>
  <si>
    <t>АКАДЕМУС-2089, Победитель</t>
  </si>
  <si>
    <t>775902.03.01</t>
  </si>
  <si>
    <t>Правотворчество в XXI в.: эволюц. доктрины и практики / В.В.Лазарев - М.:Юр. НОРМА, НИЦ ИНФРА-М,2026. - 344 с.(П)</t>
  </si>
  <si>
    <t>ПРАВОТВОРЧЕСТВО В XXI ВЕКЕ: ЭВОЛЮЦИЯ ДОКТРИНЫ И ПРАКТИКИ (К 90-ЛЕТИЮ СО ДНЯ РОЖДЕНИЯ А.С.ПИГОЛКИНА)</t>
  </si>
  <si>
    <t>Лазарев В.В.</t>
  </si>
  <si>
    <t>978-5-00156-240-5</t>
  </si>
  <si>
    <t>40.03.01, 40.05.01, 40.05.02, 40.05.04, 40.06.01</t>
  </si>
  <si>
    <t>673986.03.01</t>
  </si>
  <si>
    <t>Практико-ориентир. научно-технич. клубы: Моногр. / Под ред. Мальцевой А.А. - М.:НИЦ ИНФРА-М,2025. - 372 с.(о)</t>
  </si>
  <si>
    <t>ПРАКТИКО-ОРИЕНТИРОВАННЫЕ НАУЧНО-ТЕХНИЧЕСКИЕ КЛУБЫ КАК НОВЫЙ ФОРМАТ ОРГАНИЗАЦИИ ДОПОЛНИТЕЛЬНОГО ИНЖЕНЕРНОГО ОБРАЗОВАНИЯ</t>
  </si>
  <si>
    <t>Барсукова Н.Е., Веселов И.Н., Каплунов И.А. и др.</t>
  </si>
  <si>
    <t>978-5-16-014831-1</t>
  </si>
  <si>
    <t>39.04.03, 39.06.01, 44.04.04, 44.06.01</t>
  </si>
  <si>
    <t>Тверской государственный университет</t>
  </si>
  <si>
    <t>682645.02.01</t>
  </si>
  <si>
    <t>Предметные компетенции общего матем. образования...: Моногр./ В.И.Горбачев-М.:НИЦ ИНФРА-М,2023-403с.(О)</t>
  </si>
  <si>
    <t>ПРЕДМЕТНЫЕ КОМПЕТЕНЦИИ ОБЩЕГО МАТЕМАТИЧЕСКОГО ОБРАЗОВАНИЯ В КАТЕГОРИИ СУБЪЕКТНОГО РАЗВИТИЯ</t>
  </si>
  <si>
    <t>Горбачев В.И.</t>
  </si>
  <si>
    <t>978-5-16-015403-9</t>
  </si>
  <si>
    <t>44.03.01, 44.03.04, 44.03.05, 44.04.01, 44.04.02, 44.04.03, 44.04.04, 44.06.01</t>
  </si>
  <si>
    <t>779559.03.01</t>
  </si>
  <si>
    <t>Преемственное формир. стохастической культуры...: Моногр. / А.Ю.Полякова-М.:НИЦ ИНФРА-М,2023.-212 с.(О)</t>
  </si>
  <si>
    <t>ПРЕЕМСТВЕННОЕ ФОРМИРОВАНИЕ СТОХАСТИЧЕСКОЙ КУЛЬТУРЫ ШКОЛЬНИКОВ В УСЛОВИЯХ ЦИФРОВОЙ ТРАНСФОРМАЦИИ ОБЩЕГО ОБРАЗОВАНИЯ</t>
  </si>
  <si>
    <t>Полякова А.Ю.</t>
  </si>
  <si>
    <t>978-5-16-017792-2</t>
  </si>
  <si>
    <t>489400.06.01</t>
  </si>
  <si>
    <t>Преподаватели вузов России: формир. и развитие: Моногр./ С.Д.Резник, - 2 изд.,-М.:НИЦ ИНФРА-М,2022-140с.(О)</t>
  </si>
  <si>
    <t>ПРЕПОДАВАТЕЛИ ВУЗОВ РОССИИ: ФОРМИРОВАНИЕ И РАЗВИТИЕ ПРОФЕССИОНАЛЬНЫХ КОМПЕТЕНЦИЙ, ИЗД.2</t>
  </si>
  <si>
    <t>Резник С.Д., Вдовина О.А.</t>
  </si>
  <si>
    <t>978-5-16-015900-3</t>
  </si>
  <si>
    <t>38.06.01, 40.06.01, 44.06.01</t>
  </si>
  <si>
    <t>489400.02.01</t>
  </si>
  <si>
    <t>Преподаватели вузов России: формир.и развитие...: Моногр./ С.Д.Резник-М.:НИЦ ИНФРА-М,2017-140с(О)</t>
  </si>
  <si>
    <t>ПРЕПОДАВАТЕЛИ ВУЗОВ РОССИИ: ФОРМИРОВАНИЕ И РАЗВИТИЕ ПРОФЕССИОНАЛЬНЫХ КОМПЕТЕНЦИЙ</t>
  </si>
  <si>
    <t>978-5-16-011756-0</t>
  </si>
  <si>
    <t>733752.04.01</t>
  </si>
  <si>
    <t>Прикладная филология: Монография / В.К.Харченко - М.:НИЦ ИНФРА-М,2024 - 217 с.-(Науч.мысль)(О)</t>
  </si>
  <si>
    <t>ПРИКЛАДНАЯ ФИЛОЛОГИЯ</t>
  </si>
  <si>
    <t>978-5-16-016117-4</t>
  </si>
  <si>
    <t>45.03.01, 50.03.01</t>
  </si>
  <si>
    <t>641996.07.01</t>
  </si>
  <si>
    <t>Применение теории схем для формир. культурных фон...: Моногр./ Е.А.Макарова-М:НИЦ ИНФРА-М,2024-104с.(Научная мысль)(О)</t>
  </si>
  <si>
    <t>ПРИМЕНЕНИЕ ТЕОРИИ СХЕМ ДЛЯ ФОРМИРОВАНИЯ КУЛЬТУРНЫХ ФОНОВЫХ ЗНАНИЙ СТУДЕНТОВ И ИХ ИСПОЛЬЗОВАНИЕ В ПРЕПОДАВАНИИ ИНОСТРАННЫХ ЯЗЫКОВ</t>
  </si>
  <si>
    <t>Макарова Е.А.</t>
  </si>
  <si>
    <t>978-5-16-010347-1</t>
  </si>
  <si>
    <t>44.03.04, 44.03.05</t>
  </si>
  <si>
    <t>241700.05.01</t>
  </si>
  <si>
    <t>Принцип оценочной актуализации в совр. англ. яз.: Моногр./И.В.Чекулай - М:НИЦ ИНФРА-М,2023-160с (о)</t>
  </si>
  <si>
    <t>ПРИНЦИП ОЦЕНОЧНОЙ АКТУАЛИЗАЦИИ В СОВРЕМЕННОМ АНГЛИЙСКОМ ЯЗЫКЕ</t>
  </si>
  <si>
    <t>Чекулай И. В., Прохорова О. Н., Багана Ж., Куприева И. А.</t>
  </si>
  <si>
    <t>978-5-16-009254-6</t>
  </si>
  <si>
    <t>807431.01.01</t>
  </si>
  <si>
    <t>Принципы справедливой войны: Монография / Н.А.Шавеко-М.:НИЦ ИНФРА-М,2024.-217 с.(Науч.мысль)(п)</t>
  </si>
  <si>
    <t>ПРИНЦИПЫ СПРАВЕДЛИВОЙ ВОЙНЫ</t>
  </si>
  <si>
    <t>Шавеко Н.А.</t>
  </si>
  <si>
    <t>978-5-16-018935-2</t>
  </si>
  <si>
    <t>41.04.04, 47.06.01</t>
  </si>
  <si>
    <t>Институт философии и права Уральского отделения Российской академии наук, Удмуртский ф-л</t>
  </si>
  <si>
    <t>АКАДЕМУС-2023, Победитель, I место</t>
  </si>
  <si>
    <t>167450.10.01</t>
  </si>
  <si>
    <t>Принятие роли матери: клинико-психологический анализ / Т.Д. Василенко - М.: Форум, 2025-176с. (о)</t>
  </si>
  <si>
    <t>ПРИНЯТИЕ РОЛИ МАТЕРИ: КЛИНИКО-ПСИХОЛОГИЧЕСКИЙ АНАЛИЗ</t>
  </si>
  <si>
    <t>Василенко Т. Д., Земзюлина И. Н.</t>
  </si>
  <si>
    <t>978-5-91134-592-1</t>
  </si>
  <si>
    <t>37.00.00, 37.03.01, 37.03.02, 37.04.01, 37.04.02, 37.05.01, 37.06.01</t>
  </si>
  <si>
    <t>Курский государственный медицинский университет</t>
  </si>
  <si>
    <t>667542.02.01</t>
  </si>
  <si>
    <t>Природа кризиса созн.в эпоху глобализ.: Моногр./ Л.Д.Рассказов,- 5изд.-М.:ИНФРА-М; Красноярск:Сиб.федер.ун-т.2020-203с</t>
  </si>
  <si>
    <t>ПРИРОДА КРИЗИСА СОЗНАНИЯ В ЭПОХУ ГЛОБАЛИЗАЦИИ: СОЦИАЛЬНО-ФИЛОСОФСКИЙ АНАЛИЗ АКТУАЛЬНЫХ ОБЩЕСТВЕННЫХ ЯВЛЕНИЙ, ИЗД.5</t>
  </si>
  <si>
    <t>978-5-16-013201-3</t>
  </si>
  <si>
    <t>0518</t>
  </si>
  <si>
    <t>817795.01.01</t>
  </si>
  <si>
    <t>Проблема сознания: Моногр. / В.Н.Рубцов-М.:НИЦ ИНФРА-М,2023.-191 с.(п)</t>
  </si>
  <si>
    <t>ПРОБЛЕМА СОЗНАНИЯ</t>
  </si>
  <si>
    <t>Рубцов В.Н.</t>
  </si>
  <si>
    <t>Переплет 7БЦ+каптал</t>
  </si>
  <si>
    <t>978-5-16-019391-5</t>
  </si>
  <si>
    <t>706847.02.01</t>
  </si>
  <si>
    <t>Проблема становления романтич. историзма и...: Монография / Г.Х.Казаков - М. : ИНФРА-М, 2023.-198 с.(О)</t>
  </si>
  <si>
    <t>ПРОБЛЕМА СТАНОВЛЕНИЯ РОМАНТИЧЕСКОГО ИСТОРИЗМА И РЕАБИЛИТАЦИИ СРЕДНЕВЕКОВОЙ КУЛЬТУРЫ В ТВОРЧЕСКОМ НАСЛЕДИИ Ф.Р. ДЕ ШАТОБРИАНА</t>
  </si>
  <si>
    <t>Казакова Г.Х.</t>
  </si>
  <si>
    <t>978-5-16-015635-4</t>
  </si>
  <si>
    <t>854008.01.01</t>
  </si>
  <si>
    <t>Проблемы внедр. проектно-ориентир. обуч. в пед. образование: Моногр. / В.С.Хамидулин - М.:НИЦ ИНФРА-М,2026. - 171 с.(о)</t>
  </si>
  <si>
    <t>ПРОБЛЕМЫ ВНЕДРЕНИЯ ПРОЕКТНО-ОРИЕНТИРОВАННОГО ОБУЧЕНИЯ В ПЕДАГОГИЧЕСКОЕ ОБРАЗОВАНИЕ</t>
  </si>
  <si>
    <t>Хамидулин В.С.</t>
  </si>
  <si>
    <t>978-5-16-020942-5</t>
  </si>
  <si>
    <t>633167.08.01</t>
  </si>
  <si>
    <t>Проблемы детско-родительских отношен.: Моногр. / Е.М.Ижванова - М.:НИЦ ИНФРА-М,2025 - 89 с.(Науч.мысль)(о)</t>
  </si>
  <si>
    <t>ПРОБЛЕМЫ ДЕТСКО-РОДИТЕЛЬСКИХ ОТНОШЕНИЙ</t>
  </si>
  <si>
    <t>Ижванова Е.М.</t>
  </si>
  <si>
    <t>978-5-16-012045-4</t>
  </si>
  <si>
    <t>37.03.01, 44.03.05</t>
  </si>
  <si>
    <t>380900.05.01</t>
  </si>
  <si>
    <t>Проблемы обеспеч.и защиты публ.интересов: Cб.науч.ст./Е.С.Смагина-НИЦ ИНФРА-М,2024-83с(Науч.мысль)(о)</t>
  </si>
  <si>
    <t>ПРОБЛЕМЫ ОБЕСПЕЧЕНИЯ И ЗАЩИТЫ ПУБЛИЧНЫХ ИНТЕРЕСОВ</t>
  </si>
  <si>
    <t>Е.С.Смагина, С.Н.Еремина, В.С.Бердычевский и др.</t>
  </si>
  <si>
    <t>978-5-16-011143-8</t>
  </si>
  <si>
    <t>379100.07.01</t>
  </si>
  <si>
    <t>Проблемы правовой неопределенности: курс лекций / Н.А.Власенко-М.:НИЦ ИНФРА-М,2023.-176 с.(ИЗиСП)(П)</t>
  </si>
  <si>
    <t>ПРОБЛЕМЫ ПРАВОВОЙ НЕОПРЕДЕЛЕННОСТИ</t>
  </si>
  <si>
    <t>Власенко Н.А.</t>
  </si>
  <si>
    <t>978-5-16-011136-0</t>
  </si>
  <si>
    <t>407550.06.01</t>
  </si>
  <si>
    <t>Проектирование студ.индивид.образов.: Моногр./С.И.Осипова-М.:НИЦ ИНФРА-М,СФУ,2024-140с(Науч.мысль)(о)</t>
  </si>
  <si>
    <t>ПРОЕКТИРОВАНИЕ СТУДЕНТОМ ИНДИВИДУАЛЬНОЙ ОБРАЗОВАТЕЛЬНОЙ ТРАЕКТОРИИ В УСЛОВИЯХ ИНФОРМАТИЗАЦИИ ОБРАЗОВАНИЯ</t>
  </si>
  <si>
    <t>Осипова С. И., Соловьева Т. В.</t>
  </si>
  <si>
    <t>978-5-16-006375-1</t>
  </si>
  <si>
    <t>768722.01.01</t>
  </si>
  <si>
    <t>Проектное обучение спец. по работе с молодежью: Моногр. / И.С.Крутько.-М.:НИЦ ИНФРА-М,2022.-246 с.(О)</t>
  </si>
  <si>
    <t>ПРОЕКТНОЕ ОБУЧЕНИЕ СПЕЦИАЛИСТОВ ПО РАБОТЕ С МОЛОДЕЖЬЮ</t>
  </si>
  <si>
    <t>Бедулева М.А., Боронина Л.Н., Зверева Е.В. и др.</t>
  </si>
  <si>
    <t>978-5-16-017407-5</t>
  </si>
  <si>
    <t>39.00.00, 39.03.03, 39.04.03, 39.06.01, 39.07.01</t>
  </si>
  <si>
    <t>Уральский федеральный университет им. первого Президента России Б.Н. Ельцина</t>
  </si>
  <si>
    <t>Университетская книга 2024-2024, Победитель</t>
  </si>
  <si>
    <t>646046.06.01</t>
  </si>
  <si>
    <t>Проектно-организаторская функция воспит..: Моногр. / В.П.Сергеева - 2 изд. - М.:НИЦ ИНФРА-М,2026 - 128 с.(О)</t>
  </si>
  <si>
    <t>ПРОЕКТНО-ОРГАНИЗАТОРСКАЯ ФУНКЦИЯ ВОСПИТАТЕЛЬНОЙ ДЕЯТЕЛЬНОСТИ УЧИТЕЛЯ (ТЕОРИЯ  И МЕТОДИКА), ИЗД.2</t>
  </si>
  <si>
    <t>Сергеева В.П.</t>
  </si>
  <si>
    <t>978-5-16-012446-9</t>
  </si>
  <si>
    <t>44.03.01, 44.03.02, 44.03.04, 44.03.05, 44.04.01, 44.04.02</t>
  </si>
  <si>
    <t>362200.04.01</t>
  </si>
  <si>
    <t>Прономинализация как тип ступенчатой транспозиции...: Моногр. /В.В.Шигуров.-2 изд.-М.:НИЦ ИНФРА-М, 2024-160с</t>
  </si>
  <si>
    <t>ПРОНОМИНАЛИЗАЦИЯ КАК ТИП СТУПЕНЧАТОЙ ТРАНСПОЗИЦИИ ЯЗЫКОВЫХ ЕДИНИЦ В СИСТЕМЕ ЧАСТЕЙ РЕЧИ: ТЕОРИЯ ТРАНСПОЗИЦИОННОЙ ГРАММАТИКИ РУССКОГО ЯЗЫКА, ИЗД.2</t>
  </si>
  <si>
    <t>В.В.Шигуров</t>
  </si>
  <si>
    <t>978-5-16-010968-8</t>
  </si>
  <si>
    <t>44.03.05, 45.03.02, 45.03.03, 45.03.04, 45.04.02, 45.04.03, 51.03.01</t>
  </si>
  <si>
    <t>825364.01.01</t>
  </si>
  <si>
    <t>Пространственные коды ключ. текстов рус. культ.: Моногр. / В.И.Хайруллин - М.:НИЦ ИНФРА-М,2025. - 197 с.(о)</t>
  </si>
  <si>
    <t>ПРОСТРАНСТВЕННЫЕ КОДЫ КЛЮЧЕВЫХ ТЕКСТОВ РУССКОЙ КУЛЬТУРЫ</t>
  </si>
  <si>
    <t>Хайруллин В.И.</t>
  </si>
  <si>
    <t>978-5-16-019837-8</t>
  </si>
  <si>
    <t>45.04.01, 45.05.01, 45.06.01</t>
  </si>
  <si>
    <t>681488.05.01</t>
  </si>
  <si>
    <t>Профессионализм педагога: успешность и карьера: Моногр. / Н.А.Глузман -М.:НИЦ ИНФРА-М,2023-314 с.(О)</t>
  </si>
  <si>
    <t>ПРОФЕССИОНАЛИЗМ ПЕДАГОГА: УСПЕШНОСТЬ И КАРЬЕРА</t>
  </si>
  <si>
    <t>Глузман Н.А., Горбунова Н.В.</t>
  </si>
  <si>
    <t>978-5-16-015830-3</t>
  </si>
  <si>
    <t>37.03.01, 44.03.01, 44.03.03, 44.03.04, 44.03.05, 44.04.02</t>
  </si>
  <si>
    <t>674712.05.01</t>
  </si>
  <si>
    <t>Профессиональная самоидентификация личности: Моногр. / А.Г.Наймушина - М.:НИЦ ИНФРА-М,2024 - 76 с(О)</t>
  </si>
  <si>
    <t>ПРОФЕССИОНАЛЬНАЯ САМОИДЕНТИФИКАЦИЯ ЛИЧНОСТИ</t>
  </si>
  <si>
    <t>Наймушина А.Г., Моложавенко В.Л.</t>
  </si>
  <si>
    <t>978-5-16-013655-4</t>
  </si>
  <si>
    <t>21.03.01, 21.04.01, 21.05.05, 21.05.06, 37.04.01, 37.05.02, 38.04.03, 39.04.01, 44.04.01, 44.04.02, 44.04.04</t>
  </si>
  <si>
    <t>846818.01.01</t>
  </si>
  <si>
    <t>Профессиональное становление учителя-дефектолога: Моногр. / Е.А.Шилова - М.:НИЦ ИНФРА-М,2025. - 184 с.(п)</t>
  </si>
  <si>
    <t>ПРОФЕССИОНАЛЬНОЕ СТАНОВЛЕНИЕ УЧИТЕЛЯ-ДЕФЕКТОЛОГА</t>
  </si>
  <si>
    <t>Шилова Е.А.</t>
  </si>
  <si>
    <t>978-5-16-020546-5</t>
  </si>
  <si>
    <t>44.04.03, 44.07.01</t>
  </si>
  <si>
    <t>457154.0061.01</t>
  </si>
  <si>
    <t>Профильная школа, 2024, № 4 (127)</t>
  </si>
  <si>
    <t>ПРОФИЛЬНАЯ ШКОЛА, 2024, № 4 (127)</t>
  </si>
  <si>
    <t>457154.0067.01</t>
  </si>
  <si>
    <t>Профильная школа, 2025, № 4 (133)</t>
  </si>
  <si>
    <t>ПРОФИЛЬНАЯ ШКОЛА, 2025, № 4 (133)</t>
  </si>
  <si>
    <t>215300.07.01</t>
  </si>
  <si>
    <t>Процесс формирования научного знания..: Моногр./В.И.Кондауров-М.:НИЦ ИНФРА-М,2024-128(Науч.мысль)(о)</t>
  </si>
  <si>
    <t>ПРОЦЕСС ФОРМИРОВАНИЯ НАУЧНОГО ЗНАНИЯ (ОНТОЛОГИЧЕСКИЙ, ГНОСЕОЛОГИЧЕСКИЙ И ЛОГИЧЕСКИЙ АСПЕКТЫ)</t>
  </si>
  <si>
    <t>Кондауров В. И.</t>
  </si>
  <si>
    <t>978-5-16-006902-9</t>
  </si>
  <si>
    <t>01.04.01, 01.04.03, 02.04.01, 07.04.01, 14.04.02, 38.04.08, 42.04.03, 44.04.02, 44.04.04, 46.04.02, 47.03.01, 47.04.01, 51.03.03</t>
  </si>
  <si>
    <t>846299.04.01</t>
  </si>
  <si>
    <t>Психологическая помощь в кризисной ситуации / О.О.Андронникова - М.:НИЦ ИНФРА-М,2025. - 378 с. [16+](п)</t>
  </si>
  <si>
    <t>ПСИХОЛОГИЧЕСКАЯ ПОМОЩЬ В КРИЗИСНОЙ СИТУАЦИИ</t>
  </si>
  <si>
    <t>Андронникова О.О.</t>
  </si>
  <si>
    <t>978-5-16-020489-5</t>
  </si>
  <si>
    <t>37.04.01, 37.05.02, 44.03.01, 44.03.02</t>
  </si>
  <si>
    <t>854764.02.01</t>
  </si>
  <si>
    <t>Психологические исслед. конспиратив. ментальности..: Моногр. / В.И.Пищик - М.:НИЦ ИНФРА-М,2026. - 136 с.(о)</t>
  </si>
  <si>
    <t>ПСИХОЛОГИЧЕСКИЕ ИССЛЕДОВАНИЯ КОНСПИРАТИВИСТСКОЙ МЕНТАЛЬНОСТИ: В ЗАГОВОРЕ ПРОТИВ СЕБЯ И МИРА</t>
  </si>
  <si>
    <t>Пищик В.И., Постникова М.И.</t>
  </si>
  <si>
    <t>978-5-16-020923-4</t>
  </si>
  <si>
    <t>37.04.01, 37.04.02, 37.05.01, 37.06.01, 40.04.01, 40.05.03, 40.06.01</t>
  </si>
  <si>
    <t>639924.08.01</t>
  </si>
  <si>
    <t>Психологические типы: Моногр. / С.Ю.Поройков - 2 изд. - М.:НИЦ ИНФРА-М,2025 - 306 с.(Науч.мысль)(П)</t>
  </si>
  <si>
    <t>ПСИХОЛОГИЧЕСКИЕ ТИПЫ, ИЗД.2</t>
  </si>
  <si>
    <t>978-5-16-012255-7</t>
  </si>
  <si>
    <t>37.03.01, 37.05.01</t>
  </si>
  <si>
    <t>300200.06.01</t>
  </si>
  <si>
    <t>Психологические типы: Монография / С.Ю.Поройков - М.:НИЦ ИНФРА-М,2022 - 262 с.-(Науч.мысль)(п)</t>
  </si>
  <si>
    <t>ПСИХОЛОГИЧЕСКИЕ ТИПЫ</t>
  </si>
  <si>
    <t>978-5-16-010153-8</t>
  </si>
  <si>
    <t>844886.01.01</t>
  </si>
  <si>
    <t>Психологические факторы реабилитац. потенциала у...: Моногр. / В.С.Сорокина - М.:НИЦ ИНФРА-М,2025. -167 с.(о)</t>
  </si>
  <si>
    <t>ПСИХОЛОГИЧЕСКИЕ ФАКТОРЫ РЕАБИЛИТАЦИОННОГО ПОТЕНЦИАЛА У ПАЦИЕНТОВ С ДЕПРЕССИВНЫМ СИНДРОМОМ</t>
  </si>
  <si>
    <t>Сорокина В.С., Иванова Е.М., Ениколопов С.Н.</t>
  </si>
  <si>
    <t>978-5-16-020700-1</t>
  </si>
  <si>
    <t>37.04.01, 37.05.01, 37.06.01</t>
  </si>
  <si>
    <t>Федеральный научно-клинический центр реаниматологии и реабилитологии</t>
  </si>
  <si>
    <t>845607.04.01</t>
  </si>
  <si>
    <t>Психология воспитания стрессосовладающего поведения / Н.П.Фетискин - М.:Форум, НИЦ ИНФРА-М,2026 - 240с(п)</t>
  </si>
  <si>
    <t>ПСИХОЛОГИЯ ВОСПИТАНИЯ СТРЕССОСОВЛАДАЮЩЕГО ПОВЕДЕНИЯ</t>
  </si>
  <si>
    <t>Фетискин Н.П.</t>
  </si>
  <si>
    <t>978-5-00091-816-6</t>
  </si>
  <si>
    <t>37.03.02, 37.05.01</t>
  </si>
  <si>
    <t>Костромской государственный университет</t>
  </si>
  <si>
    <t>443050.11.01</t>
  </si>
  <si>
    <t>Психология высших достижений личности..: Моногр. / Т.Ф.Базылевич - М.:НИЦ ИНФРА-М,2025 - 330 с.(Науч.мысль)(О)</t>
  </si>
  <si>
    <t>ПСИХОЛОГИЯ ВЫСШИХ ДОСТИЖЕНИЙ ЛИЧНОСТИ (ПСИХОАКМЕОЛОГИЯ)</t>
  </si>
  <si>
    <t>978-5-16-006851-0</t>
  </si>
  <si>
    <t>37.03.01, 37.03.02, 37.04.01, 37.04.02, 37.05.01, 37.05.02, 44.03.01, 44.03.05</t>
  </si>
  <si>
    <t>482350.08.01</t>
  </si>
  <si>
    <t>Психология массового поведения: Монография / В.А.Соснин - М.:Форум, НИЦ ИНФРА-М,2024 - 159 с.(о)</t>
  </si>
  <si>
    <t>ПСИХОЛОГИЯ МАССОВОГО ПОВЕДЕНИЯ</t>
  </si>
  <si>
    <t>Соснин В.А.</t>
  </si>
  <si>
    <t>978-5-00091-003-0</t>
  </si>
  <si>
    <t>639469.07.01</t>
  </si>
  <si>
    <t>Психология межнациональных отношений: Курс лекций / В.Г.Крысько - 2 изд. - М.:Вуз.уч.,НИЦ ИНФРА-М,2025-228 с.(П)</t>
  </si>
  <si>
    <t>ПСИХОЛОГИЯ МЕЖНАЦИОНАЛЬНЫХ ОТНОШЕНИЙ, ИЗД.2</t>
  </si>
  <si>
    <t>Крысько В.Г.</t>
  </si>
  <si>
    <t>978-5-16-020191-7</t>
  </si>
  <si>
    <t>37.03.01, 37.04.01, 41.04.01, 51.03.02</t>
  </si>
  <si>
    <t>641989.05.01</t>
  </si>
  <si>
    <t>Психология обучения и воспитания...: Моногр./ Под ред. Кондратьева С.В.-М.:НИЦ ИНФРА-М,2024.-256 с(п)</t>
  </si>
  <si>
    <t>ПСИХОЛОГИЯ ОБУЧЕНИЯ И ВОСПИТАНИЯ: ГУМАНИТАРНАЯ ХРИСТИАНСКАЯ ПАРАДИГМА</t>
  </si>
  <si>
    <t>Карпиков А.А., Кондратьев С.В., Кондратьев С.В.</t>
  </si>
  <si>
    <t>978-5-16-012719-4</t>
  </si>
  <si>
    <t>37.03.01, 44.03.05, 44.04.02</t>
  </si>
  <si>
    <t>726499.02.01</t>
  </si>
  <si>
    <t>Психология познания дошк. в проф.-педагог. деят... / Г.А.Урунтаева - М.:НИЦ ИНФРА-М,2022 - 215 с.(О)</t>
  </si>
  <si>
    <t>ПСИХОЛОГИЯ ПОЗНАНИЯ ДОШКОЛЬНИКА В ПРОФЕССИОНАЛЬНО-ПЕДАГОГИЧЕСКОЙ ДЕЯТЕЛЬНОСТИ ВОСПИТАТЕЛЯ</t>
  </si>
  <si>
    <t>Урунтаева Г.А., Гошева Е.Н.</t>
  </si>
  <si>
    <t>978-5-16-015994-2</t>
  </si>
  <si>
    <t>44.03.02</t>
  </si>
  <si>
    <t>Институт изучения детства, семьи и воспитания Российской академии образования</t>
  </si>
  <si>
    <t>473650.04.01</t>
  </si>
  <si>
    <t>Психология разрушения: Моногр. / Т.И.Чиркова - М.:Вуз.уч.:НИЦ ИНФРА-М,2025 - 192 с.(Науч. книга) (о)</t>
  </si>
  <si>
    <t>ПСИХОЛОГИЯ РАЗРУШЕНИЯ</t>
  </si>
  <si>
    <t>Чиркова Т.И.</t>
  </si>
  <si>
    <t>978-5-9558-0385-2</t>
  </si>
  <si>
    <t>Нижегородский государственный педагогический университет им. К. Минина</t>
  </si>
  <si>
    <t>742521.06.01</t>
  </si>
  <si>
    <t>Психология региональных выборов: Моногр. / И.В.Грошев. - М.:НИЦ ИНФРА-М,2026. - 251 с.(Науч.мысль)(О)</t>
  </si>
  <si>
    <t>ПСИХОЛОГИЯ РЕГИОНАЛЬНЫХ ВЫБОРОВ: КАНДИДАТЫ И ИЗБИРАТЕЛИ</t>
  </si>
  <si>
    <t>Грошев И.В., Горбенко А.В., Давыдова Ю.А.</t>
  </si>
  <si>
    <t>978-5-16-016484-7</t>
  </si>
  <si>
    <t>39.04.01, 39.06.01, 41.04.04, 41.06.01</t>
  </si>
  <si>
    <t>Научно-исследовательский институт образования и науки</t>
  </si>
  <si>
    <t>795915.04.01</t>
  </si>
  <si>
    <t>Психология русского народа: Моногр. / Д.А.Севостьянов - М.:НИЦ ИНФРА-М,2026. - 356 с.(Науч.мысль)(п)</t>
  </si>
  <si>
    <t>ПСИХОЛОГИЯ РУССКОГО НАРОДА</t>
  </si>
  <si>
    <t>Севостьянов Д.А.</t>
  </si>
  <si>
    <t>978-5-16-018304-6</t>
  </si>
  <si>
    <t>37.04.01, 37.04.02, 37.06.01, 39.04.01, 39.04.03, 39.06.01, 39.07.01, 41.04.02, 41.04.04, 41.04.05, 41.04.06, 41.06.01, 41.07.01, 47.04.01, 47.06.01, 47.07.01</t>
  </si>
  <si>
    <t>Новосибирский государственный медицинский университет</t>
  </si>
  <si>
    <t>444950.12.01</t>
  </si>
  <si>
    <t>Психология самопрезентации личности: Моногр. / О.А.Пикулева - М.:НИЦ ИНФРА-М,2026 - 320 с.(Науч.мысль)(П)</t>
  </si>
  <si>
    <t>ПСИХОЛОГИЯ САМОПРЕЗЕНТАЦИИ ЛИЧНОСТИ</t>
  </si>
  <si>
    <t>Пикулева О.А.</t>
  </si>
  <si>
    <t>978-5-16-006926-5</t>
  </si>
  <si>
    <t>37.03.01, 38.03.01, 38.03.03, 38.04.03, 41.03.06, 42.03.01, 42.04.01</t>
  </si>
  <si>
    <t>185050.11.01</t>
  </si>
  <si>
    <t>Психология суицидального терроризма...:Моногр./ Под ред. Журавлева А.Л.-М.:Форум, НИЦ ИНФРА-М,2023-256с.(О)</t>
  </si>
  <si>
    <t>ПСИХОЛОГИЯ СУИЦИДАЛЬНОГО ТЕРРОРИЗМА: ИСТОРИЧЕСКИЕ АНАЛОГИИ И ГЕОПОЛИТИЧЕСКИЕ ТЕНДЕНЦИИ В XXI ВЕКЕ</t>
  </si>
  <si>
    <t>Соснин В. А., Журавлев А. Л.</t>
  </si>
  <si>
    <t>978-5-00091-643-8</t>
  </si>
  <si>
    <t>426150.06.01</t>
  </si>
  <si>
    <t>Психолого-педагогические осн. подгот. препод. иностр. яз..:Моногр./ Л.В.Губанова-ИНФРА-М,2024-289с(О)</t>
  </si>
  <si>
    <t>ПСИХОЛОГО-ПЕДАГОГИЧЕСКИЕ ОСНОВЫ ПОДГОТОВКИ ПРЕПОДАВАТЕЛЕЙ ИНОСТРАННЫХ ЯЗЫКОВ (В УСЛОВИЯХ РАБОТЫ В НЕЯЗЫКОВЫХ УЧЕБНЫХ ЗАВЕДЕНИЯХ)</t>
  </si>
  <si>
    <t>Губанова Л. В.</t>
  </si>
  <si>
    <t>978-5-16-006603-5</t>
  </si>
  <si>
    <t>44.03.02, 44.04.02, 45.03.01, 45.04.01</t>
  </si>
  <si>
    <t>774775.01.01</t>
  </si>
  <si>
    <t>Пути и средства обеспечения преемственности обуч... / М.А.Родионов-М.:НИЦ ИНФРА-М,2023.-216 с.(о)</t>
  </si>
  <si>
    <t>ПУТИ И СРЕДСТВА ОБЕСПЕЧЕНИЯ ПРЕЕМСТВЕННОСТИ ОБУЧЕНИЯ МЕЖДУ ШКОЛОЙ И ВОЕННЫМ ВУЗОМ (НА МАТЕРИАЛЕ МАТЕМАТИКИ И ИНФОРМАТИКИ)</t>
  </si>
  <si>
    <t>Родионов М.А., Гусева Е.В., Шабанов Г.И.</t>
  </si>
  <si>
    <t>978-5-16-017700-7</t>
  </si>
  <si>
    <t>680118.02.01</t>
  </si>
  <si>
    <t>Пути развития словацкой литер. XIX -начала XXI века: Моногр./А.Г.Машкова-М.:НИЦ ИНФРА-М,2019-289с(П)</t>
  </si>
  <si>
    <t>ПУТИ РАЗВИТИЯ СЛОВАЦКОЙ ЛИТЕРАТУРЫ XIX - НАЧАЛА XXI ВЕКА</t>
  </si>
  <si>
    <t>Машкова А.Г.</t>
  </si>
  <si>
    <t>978-5-16-013769-8</t>
  </si>
  <si>
    <t>44.03.05, 51.03.01, 51.03.06, 52.03.04, 52.03.05</t>
  </si>
  <si>
    <t>Московский государственный университет им. М.В. Ломоносова, филологический факультет</t>
  </si>
  <si>
    <t>636876.07.01</t>
  </si>
  <si>
    <t>Пути формирования наглядных форм мышления...: Моногр. / Е.А.Стребелева - М.:НИЦ ИНФРА-М,2026 - 210 с.(П)</t>
  </si>
  <si>
    <t>ПУТИ ФОРМИРОВАНИЯ  НАГЛЯДНЫХ ФОРМ МЫШЛЕНИЯ У ДОШКОЛЬНИКОВ С НАРУШЕНИЕМ ИНТЕЛЛЕКТА</t>
  </si>
  <si>
    <t>Стребелева Е.А.</t>
  </si>
  <si>
    <t>978-5-16-012184-0</t>
  </si>
  <si>
    <t>44.04.03</t>
  </si>
  <si>
    <t>674506.02.01</t>
  </si>
  <si>
    <t>Развитие аутопсихологической компетентности....: Моногр./ О.В.Полетаева.-М.:ИНФРА-М, 2024-124с(О)</t>
  </si>
  <si>
    <t>РАЗВИТИЕ АУТОПСИХОЛОГИЧЕСКОЙ КОМПЕТЕНТНОСТИ В ПРОФЕССИОНАЛЬНОЙ ПОДГОТОВКЕ СПЕЦИАЛИСТОВ С  УЧЕТОМ СПЕЦИФИКИ РАБОТЫ В АРКТИКЕ</t>
  </si>
  <si>
    <t>Полетаева О.В.</t>
  </si>
  <si>
    <t>Научная мысль (Тюм. индустр. ун-т)</t>
  </si>
  <si>
    <t>978-5-16-013677-6</t>
  </si>
  <si>
    <t>23.03.01, 37.03.01, 44.03.01, 44.03.02, 44.04.01, 44.04.02</t>
  </si>
  <si>
    <t>Тюменский индустриальный университет, ф-л Ноябрьский институт нефти и газа</t>
  </si>
  <si>
    <t>425400.05.01</t>
  </si>
  <si>
    <t>Развитие вероят. стиля мышления в процессе...: Моногр. / С.Н.Дворяткина-М.:НИЦ ИНФРА-М,2022-271с.(О)</t>
  </si>
  <si>
    <t>РАЗВИТИЕ ВЕРОЯТНОСТНОГО СТИЛЯ МЫШЛЕНИЯ В ПРОЦЕССЕ ОБУЧЕНИЯ МАТЕМАТИКЕ: ТЕОРИЯ И ПРАКТИКА</t>
  </si>
  <si>
    <t>Дворяткина С. Н.</t>
  </si>
  <si>
    <t>978-5-16-006337-9</t>
  </si>
  <si>
    <t>44.03.01, 44.03.04, 44.03.05, 44.04.01, 44.04.04</t>
  </si>
  <si>
    <t>674446.03.01</t>
  </si>
  <si>
    <t>Развитие дет. изо. творчества под влиянием...: Моногр. / С.В.Погодина - М.:НИЦ ИНФРА-М,2025. - 361 с.(П)</t>
  </si>
  <si>
    <t>РАЗВИТИЕ ДЕТСКОГО ИЗОБРАЗИТЕЛЬНОГО ТВОРЧЕСТВА ПОД ВЛИЯНИЕМ ХУДОЖЕСТВЕННЫХ ЭТАЛОНОВ В РАМКАХ КОНЦЕПЦИИ ТРАНСФОРМИРУЕМЫХ ЭСТЕТИЧЕСКИХ АРХЕТИПОВ</t>
  </si>
  <si>
    <t>Погодина С.В.</t>
  </si>
  <si>
    <t>978-5-16-017482-2</t>
  </si>
  <si>
    <t>773010.01.01</t>
  </si>
  <si>
    <t>Развитие идей творческой деят. учащихся в теории...: Моногр. / К.Ю.Герасимова-М.:НИЦ ИНФРА-М,2022.-183 с.(О)</t>
  </si>
  <si>
    <t>РАЗВИТИЕ ИДЕЙ ТВОРЧЕСКОЙ ДЕЯТЕЛЬНОСТИ УЧАЩИХСЯ В ТЕОРИИ И ПРАКТИКЕ РОССИЙСКОЙ И НЕМЕЦКОЙ ПЕДАГОГИКИ КОНЦА XIX - НАЧАЛА XX ВЕКА</t>
  </si>
  <si>
    <t>Герасимова К.Ю., Аллагулов А.М.</t>
  </si>
  <si>
    <t>978-5-16-017510-2</t>
  </si>
  <si>
    <t>44.03.01, 44.03.02, 44.03.05, 44.04.01, 44.06.01</t>
  </si>
  <si>
    <t>Оренбургский государственный педагогический университет</t>
  </si>
  <si>
    <t>780143.01.01</t>
  </si>
  <si>
    <t>Развитие интеллект.способ.детей старш.дошк.возр...: Моногр. / М.Ю.Стожарова.-М.:НИЦ ИНФРА-М,2023.-274с(п)</t>
  </si>
  <si>
    <t>РАЗВИТИЕ ИНТЕЛЛЕКТУАЛЬНЫХ СПОСОБНОСТЕЙ ДЕТЕЙ СТАРШЕГО ДОШКОЛЬНОГО ВОЗРАСТА В РАЗЛИЧНЫХ ФОРМАХ МАТЕМАТИЧЕСКОЙ РАБОТЫ</t>
  </si>
  <si>
    <t>Стожарова М.Ю., Сидорова Ю.Ю., Нуртдинова Л.Б. и др.</t>
  </si>
  <si>
    <t>978-5-16-018371-8</t>
  </si>
  <si>
    <t>44.03.01, 44.03.05, 44.04.01, 44.04.04, 44.06.01</t>
  </si>
  <si>
    <t>Ульяновский государственный педагогический университет им. И.Н. Ульянова</t>
  </si>
  <si>
    <t>665757.04.01</t>
  </si>
  <si>
    <t>Развитие исслед. культуры совр. студ. в вузе: Моногр. / О.Н.Шихова-М.:НИЦ ИНФРА-М,2023-126с(О)</t>
  </si>
  <si>
    <t>РАЗВИТИЕ ИССЛЕДОВАТЕЛЬСКОЙ КУЛЬТУРЫ СОВРЕМЕННЫХ СТУДЕНТОВ В ВУЗЕ</t>
  </si>
  <si>
    <t>Шихова О.Н.</t>
  </si>
  <si>
    <t>978-5-16-013186-3</t>
  </si>
  <si>
    <t>44.00.00, 44.03.01, 44.03.02, 44.03.03, 44.03.04, 44.03.05, 44.04.01, 44.04.02, 44.04.03, 44.04.04, 44.05.01</t>
  </si>
  <si>
    <t>775338.01.01</t>
  </si>
  <si>
    <t>Развитие концепции формирования личности учителя..: Моногр. / А.В.Леонова-М.:НИЦ ИНФРА-М,2023.-229 с.(О)</t>
  </si>
  <si>
    <t>РАЗВИТИЕ КОНЦЕПЦИИ ФОРМИРОВАНИЯ ЛИЧНОСТИ УЧИТЕЛЯ В ИСТОРИИ И ТЕОРИИ ВЫСШЕГО ПЕДАГОГИЧЕСКОГО ОБРАЗОВАНИЯ В 90-Е ГГ. ХХ ВЕКА</t>
  </si>
  <si>
    <t>Леонова А.В.</t>
  </si>
  <si>
    <t>978-5-16-017794-6</t>
  </si>
  <si>
    <t>468400.11.01</t>
  </si>
  <si>
    <t>Развитие матем. мышл. ребенка...: Моногр. /А.В.Белошистая - М.:НИЦ ИНФРА-М,2026 - 234 c.(Науч.мысль)(О)</t>
  </si>
  <si>
    <t>РАЗВИТИЕ  МАТЕМАТИЧЕСКОГО МЫШЛЕНИЯ РЕБЕНКА ДОШКОЛЬНОГО И  МЛАДШЕГО ШКОЛЬНОГО ВОЗРАСТА В ПРОЦЕССЕ ОБУЧЕНИЯ</t>
  </si>
  <si>
    <t>Белошистая А.В.</t>
  </si>
  <si>
    <t>978-5-16-016787-9</t>
  </si>
  <si>
    <t>807617.01.01</t>
  </si>
  <si>
    <t>Развитие матем. способностей реб. дош. возраста.: Моногр. / А.В.Белошистая-М.:НИЦ ИНФРА-М,2024.-178 с.(п)</t>
  </si>
  <si>
    <t>РАЗВИТИЕ МАТЕМАТИЧЕСКИХ СПОСОБНОСТЕЙ РЕБЕНКА ДОШКОЛЬНОГО ВОЗРАСТА.</t>
  </si>
  <si>
    <t>978-5-16-018975-8</t>
  </si>
  <si>
    <t>846620.03.01</t>
  </si>
  <si>
    <t>Развитие мыслительной деят. детей дош. возраста / Л.Н.Вахрушева - 2 изд. - М.:НИЦ ИНФРА-М,2026-175с[16+](п)</t>
  </si>
  <si>
    <t>РАЗВИТИЕ МЫСЛИТЕЛЬНОЙ ДЕЯТЕЛЬНОСТИ ДЕТЕЙ ДОШКОЛЬНОГО ВОЗРАСТА, ИЗД.2</t>
  </si>
  <si>
    <t>Вахрушева Л.Н.</t>
  </si>
  <si>
    <t>978-5-16-020507-6</t>
  </si>
  <si>
    <t>44.02.01, 44.02.03, 44.02.05</t>
  </si>
  <si>
    <t>Вятский государственный университет</t>
  </si>
  <si>
    <t>800519.01.01</t>
  </si>
  <si>
    <t>Развитие проф. умений у студ. инж. спец.  в условиях...: Моногр. / И.Г.Шамшина-М.:НИЦ ИНФРА-М,2024-207с(о)</t>
  </si>
  <si>
    <t>РАЗВИТИЕ ПРОФЕССИОНАЛЬНЫХ УМЕНИЙ У СТУДЕНТОВ ИНЖЕНЕРНЫХ СПЕЦИАЛЬНОСТЕЙ  В УСЛОВИЯХ МОДУЛЬНОГО ОБУЧЕНИЯ</t>
  </si>
  <si>
    <t>Шамшина И.Г.</t>
  </si>
  <si>
    <t>978-5-16-019505-6</t>
  </si>
  <si>
    <t>788295.05.01</t>
  </si>
  <si>
    <t>Развитие сов. общеобраз. шк. в первые послевоен. годы..: Моногр. / А.Е.Смирницкий - М.:НИЦ ИНФРА-М,2026 - 172 с.(о)</t>
  </si>
  <si>
    <t>РАЗВИТИЕ СОВЕТСКОЙ ОБЩЕОБРАЗОВАТЕЛЬНОЙ ШКОЛЫ В ПЕРВЫЕ ПОСЛЕВОЕННЫЕ ГОДЫ (1946-1952)</t>
  </si>
  <si>
    <t>Смирницкий А.Е.</t>
  </si>
  <si>
    <t>978-5-16-017974-2</t>
  </si>
  <si>
    <t>44.04.01, 44.06.01, 46.04.01, 46.06.01</t>
  </si>
  <si>
    <t>673761.04.01</t>
  </si>
  <si>
    <t>Размышления об эмпатическом познании: Моногр. / С.В.Бочкарёва - М.:НИЦ ИНФРА-М,2024 - 149 с.(Науч.мысль)(О)</t>
  </si>
  <si>
    <t>РАЗМЫШЛЕНИЯ ОБ ЭМПАТИЧЕСКОМ ПОЗНАНИИ</t>
  </si>
  <si>
    <t>Бочкарёва С.В.</t>
  </si>
  <si>
    <t>978-5-16-013590-8</t>
  </si>
  <si>
    <t>Гимназия № 19 г. Курган</t>
  </si>
  <si>
    <t>406450.01.01</t>
  </si>
  <si>
    <t>Рафаил Самуилович Белкин. Воспоминание друзей, ученик.../Сост. Е.Р.Россинская - М.: Норма, 2013-192с (п)</t>
  </si>
  <si>
    <t>РАФАИЛ САМУИЛОВИЧ БЕЛКИН. ВОСПОМИНАНИЕ ДРУЗЕЙ, УЧЕНИКОВ И КОЛЛЕГ (К 90-ЛЕТИЮ СО ДНЯ РОЖДЕНИЯ)</t>
  </si>
  <si>
    <t>Россинская Е.Р.</t>
  </si>
  <si>
    <t>978-5-91768-339-3</t>
  </si>
  <si>
    <t>757839.03.01</t>
  </si>
  <si>
    <t>Реализация Закона об ответственном обращении с животными.../ В.Р.Авхадеев - М.:НИЦ ИНФРА-М,2023 - 176 с.(О)</t>
  </si>
  <si>
    <t>РЕАЛИЗАЦИЯ ЗАКОНА ОБ ОТВЕТСТВЕННОМ ОБРАЩЕНИИ С ЖИВОТНЫМИ: ОТ КАЧЕСТВА НОРМ К ЭФФЕКТИВНОМУ ПРАВОПРИМЕНЕНИЮ</t>
  </si>
  <si>
    <t>Авхадеев В.Р., Биткова Л.А., Боголюбов C.А. и др.</t>
  </si>
  <si>
    <t>978-5-16-016948-4</t>
  </si>
  <si>
    <t>657635.03.01</t>
  </si>
  <si>
    <t>Революция 1917 года в России и литература США: Моногр. / Б.А.Гиленсон-М.:НИЦ ИНФРА-М,2023-172с.(О)</t>
  </si>
  <si>
    <t>РЕВОЛЮЦИЯ 1917 ГОДА В РОССИИ И ЛИТЕРАТУРА США: ПРОБЛЕМЫ, УРОКИ, ИТОГИ</t>
  </si>
  <si>
    <t>978-5-16-012842-9</t>
  </si>
  <si>
    <t>849708.02.01</t>
  </si>
  <si>
    <t>Региональная экономика: стратегические реш..: Моногр. / О.П.Иванова. - М.:НИЦ ИНФРА-М,2026. - 420 с.(п)</t>
  </si>
  <si>
    <t>РЕГИОНАЛЬНАЯ ЭКОНОМИКА: СТРАТЕГИЧЕСКИЕ РЕШЕНИЯ, РАЗВИТИЕ И УПРАВЛЕНИЕ</t>
  </si>
  <si>
    <t>Иванова О.П., Тумин В.М., Омаров М.М. и др.</t>
  </si>
  <si>
    <t>978-5-16-020736-0</t>
  </si>
  <si>
    <t>38.04.01, 38.04.04, 38.06.01</t>
  </si>
  <si>
    <t>375700.06.01</t>
  </si>
  <si>
    <t>Религия в условиях совр. глобализац. процесса: Моногр. / Ю.А.Бабинов - М.:Вуз.уч.,НИЦ ИНФРА-М,2024-262с.(О)</t>
  </si>
  <si>
    <t>РЕЛИГИЯ В УСЛОВИЯХ СОВРЕМЕННОГО ГЛОБАЛИЗАЦИОННОГО ПРОЦЕССА</t>
  </si>
  <si>
    <t>Бабинов Ю.А.</t>
  </si>
  <si>
    <t>978-5-9558-0448-4</t>
  </si>
  <si>
    <t>37.03.01, 44.03.05, 47.03.01, 47.03.03, 47.04.01, 47.04.03, 48.03.01, 51.03.01, 51.04.01</t>
  </si>
  <si>
    <t>Севастопольский государственный университет</t>
  </si>
  <si>
    <t>482550.08.01</t>
  </si>
  <si>
    <t>Реорганизация и ликвидация юр. лиц: Науч.-практ. комм. / А.В.Габов - ИНФРА-М,2025-XVI, 2025 - 203 с. (о)</t>
  </si>
  <si>
    <t>РЕОРГАНИЗАЦИЯ И ЛИКВИДАЦИЯ ЮРИДИЧЕСКИХ ЛИЦ</t>
  </si>
  <si>
    <t>Габов А. В.</t>
  </si>
  <si>
    <t>978-5-16-010466-9</t>
  </si>
  <si>
    <t>38.03.04, 40.02.04, 40.03.01, 40.04.01, 44.03.05, 46.03.02</t>
  </si>
  <si>
    <t>682628.06.01</t>
  </si>
  <si>
    <t>Репрезентация образа матери в рос. ментальности: Моногр. / Н.Н.Васягина - М.:НИЦ ИНФРА-М,2024 - 181с(О)</t>
  </si>
  <si>
    <t>РЕПРЕЗЕНТАЦИЯ ОБРАЗА МАТЕРИ В РОССИЙСКОЙ МЕНТАЛЬНОСТИ</t>
  </si>
  <si>
    <t>Васягина Н.Н., Газизова Ю.С.</t>
  </si>
  <si>
    <t>978-5-16-014062-9</t>
  </si>
  <si>
    <t>37.03.01, 44.03.02, 44.03.05, 44.04.02</t>
  </si>
  <si>
    <t>666949.05.01</t>
  </si>
  <si>
    <t>Рефлексивная педагогика вуза: Моногр. / Ю.Д.Красовский - М.:НИЦ ИНФРА-М,2024. - 190 с.(Науч.мысль)(П)</t>
  </si>
  <si>
    <t>РЕФЛЕКСИВНАЯ ПЕДАГОГИКА ВУЗА</t>
  </si>
  <si>
    <t>Красовский Ю.Д.</t>
  </si>
  <si>
    <t>978-5-16-013275-4</t>
  </si>
  <si>
    <t>11.04.02, 44.05.01</t>
  </si>
  <si>
    <t>838147.01.01</t>
  </si>
  <si>
    <t>Реформа образ. в России и ее результаты: Моногр. / Н.А.Сальков - М.:НИЦ ИНФРА-М,2025. - 230 с.(Науч.мысль)(п)</t>
  </si>
  <si>
    <t>РЕФОРМА ОБРАЗОВАНИЯ В РОССИИ И ЕЕ РЕЗУЛЬТАТЫ</t>
  </si>
  <si>
    <t>978-5-16-020448-2</t>
  </si>
  <si>
    <t>276100.08.01</t>
  </si>
  <si>
    <t>Реформирование высш.образ.на основе замещения...: Моногр./В.И.Подлесных-М.:НИЦ ИНФРА-М,2024-188с.(о)</t>
  </si>
  <si>
    <t>РЕФОРМИРОВАНИЕ ВЫСШЕГО ОБРАЗОВАНИЯ НА ОСНОВЕ ЗАМЕЩЕНИЯ ТЕХНОЛОГИЧЕСКОГО УКЛАДА (НОВЫЕ ПОДХОДЫ И МЕТОДЫ)</t>
  </si>
  <si>
    <t>Подлесных В. И.</t>
  </si>
  <si>
    <t>978-5-16-009731-2</t>
  </si>
  <si>
    <t>38.04.01, 38.04.02, 44.03.05</t>
  </si>
  <si>
    <t>Национальный исследовательский университет ИТМО</t>
  </si>
  <si>
    <t>147950.16.01</t>
  </si>
  <si>
    <t>Роль отца в психич. развитии ребенка: Моногр. / О.Г.Калина, - 2 изд. - М.:НИЦ ИНФРА-М,2026.- 112 с.(о)</t>
  </si>
  <si>
    <t>РОЛЬ ОТЦА В ПСИХИЧЕСКОМ РАЗВИТИИ РЕБЕНКА, ИЗД.2</t>
  </si>
  <si>
    <t>Калина О. Г., Холмогорова А. Б.</t>
  </si>
  <si>
    <t>978-5-16-021110-7</t>
  </si>
  <si>
    <t>684336.04.01</t>
  </si>
  <si>
    <t>Роман Г.Д. Гребенщикова «Чураевы»  социокульт.: Моногр./ С.С.Царегородцева-М.:НИЦ ИНФРА-М,2024-127 с.(О)</t>
  </si>
  <si>
    <t>РОМАН Г.Д. ГРЕБЕНЩИКОВА «ЧУРАЕВЫ»  СОЦИОКУЛЬТУРНОМ КОНТЕКСТЕ ЭПОХИ</t>
  </si>
  <si>
    <t>Царегородцева С.С.</t>
  </si>
  <si>
    <t>978-5-16-016031-3</t>
  </si>
  <si>
    <t>42.03.02, 45.03.01, 45.04.01</t>
  </si>
  <si>
    <t>632777.09.01</t>
  </si>
  <si>
    <t>Роман Э.Хемингуэя "По ком звонит колокол".: Моногр. / Б.А.Гиленсон - М.:НИЦ ИНФРА-М,2025 - 195 с.(О)</t>
  </si>
  <si>
    <t>РОМАН Э.ХЕМИНГУЭЯ "ПО КОМ ЗВОНИТ КОЛОКОЛ". ИСТОРИЯ И СОВРЕМЕННОСТЬ</t>
  </si>
  <si>
    <t>978-5-16-016884-5</t>
  </si>
  <si>
    <t>45.00.00, 41.03.06, 42.03.02, 42.03.03, 42.03.04, 45.03.01, 52.03.04, 52.03.05</t>
  </si>
  <si>
    <t>652104.05.01</t>
  </si>
  <si>
    <t>Романские языки в Тропической Африке и ..: Моногр. / О.А.Сапрыкина - М.:НИЦ ИНФРА-М,2024 - 106 с.(О)</t>
  </si>
  <si>
    <t>РОМАНСКИЕ ЯЗЫКИ В ТРОПИЧЕСКОЙ АФРИКЕ И ПОСТКОЛОНИАЛЬНЫЙ ХУДОЖЕСТВЕННЫЙ ДИСКУРС</t>
  </si>
  <si>
    <t>Сапрыкина О.А., Найденова Н.С.</t>
  </si>
  <si>
    <t>978-5-16-012638-8</t>
  </si>
  <si>
    <t>45.03.03</t>
  </si>
  <si>
    <t>845815.04.01</t>
  </si>
  <si>
    <t>Российская геральдика: Науч.-поп. изд. / А.А.Корников - М.:НИЦ ИНФРА-М,2025. - 196 с.:цв.ил.[16+](п)</t>
  </si>
  <si>
    <t>РОССИЙСКАЯ ГЕРАЛЬДИКА</t>
  </si>
  <si>
    <t>Корников А.А.</t>
  </si>
  <si>
    <t>978-5-16-020486-4</t>
  </si>
  <si>
    <t>46.03.01, 46.03.02</t>
  </si>
  <si>
    <t>837256.01.01</t>
  </si>
  <si>
    <t>Российский метаэтнич. менталитет в аспекте...: Моногр. / А.А.Лагунов - М.:НИЦ ИНФРА-М,2025 -189 с.(п)</t>
  </si>
  <si>
    <t>РОССИЙСКИЙ МЕТАЭТНИЧЕСКИЙ МЕНТАЛИТЕТ В АСПЕКТЕ ФИЛОСОФСКОГО ПЕРСОНАЛИЗМА</t>
  </si>
  <si>
    <t>Лагунов А.А., Ющенко В.Н.</t>
  </si>
  <si>
    <t>978-5-16-020219-8</t>
  </si>
  <si>
    <t>41.04.02, 41.06.01, 46.06.01, 47.06.01</t>
  </si>
  <si>
    <t>Февраль, 2025</t>
  </si>
  <si>
    <t>716649.01.01</t>
  </si>
  <si>
    <t>Россия. XXI век: Энц.: В 2 т.Т.2 / Гл. ред. В.И.Данилов-Данильян - М.:Энциклопедия,2019 - 528 с.(П)</t>
  </si>
  <si>
    <t>РОССИЯ. XXI ВЕК</t>
  </si>
  <si>
    <t>Данилов-Данильян В.И.</t>
  </si>
  <si>
    <t>978-5-94802-117-1</t>
  </si>
  <si>
    <t>668758.06.01</t>
  </si>
  <si>
    <t>Русская литератур. критика на рубеже ХХ-ХХI в.: Моногр. /  Ю.А.Говорухина - М.:НИЦ ИНФРА-М, СФУ,2025. - 358 с(П)</t>
  </si>
  <si>
    <t>РУССКАЯ ЛИТЕРАТУРНАЯ КРИТИКА НА РУБЕЖЕ ХХ-ХХI ВЕКОВ</t>
  </si>
  <si>
    <t>Говорухина Ю.А.</t>
  </si>
  <si>
    <t>978-5-16-016578-3</t>
  </si>
  <si>
    <t>849500.01.01</t>
  </si>
  <si>
    <t>Русская литература и Марсель Пруст: влияния..: Моногр. / А.Н.Таганов - М.:НИЦ ИНФРА-М,2025. - 398 с.(п)</t>
  </si>
  <si>
    <t>РУССКАЯ ЛИТЕРАТУРА И МАРСЕЛЬ ПРУСТ: ВЛИЯНИЯ, РЕЦЕПЦИЯ, ТИПОЛОГИЯ</t>
  </si>
  <si>
    <t>978-5-16-020704-9</t>
  </si>
  <si>
    <t>, 45.04.01, 45.06.01</t>
  </si>
  <si>
    <t>667639.08.01</t>
  </si>
  <si>
    <t>Русская музыка с древ.времен до сер.XX в.: Моногр. / В.П.Лозинская - М.:НИЦ ИНФРА-М, СФУ,2025-136с(О)</t>
  </si>
  <si>
    <t>РУССКАЯ МУЗЫКА С ДРЕВНЕЙШИХ ВРЕМЕН ДО СЕРЕДИНЫ XX ВЕКА</t>
  </si>
  <si>
    <t>Лозинская В.П.</t>
  </si>
  <si>
    <t>978-5-16-016220-1</t>
  </si>
  <si>
    <t>44.03.01, 53.04.01, 53.04.02, 53.04.03, 53.04.04, 53.04.06, 53.05.05</t>
  </si>
  <si>
    <t>420200.06.01</t>
  </si>
  <si>
    <t>Русская Православная церковь в России в конце ХХ в.: Моногр. / Л.А.Королева - М.:НИЦ ИНФРА-М,2024 - 223 с(О)</t>
  </si>
  <si>
    <t>РУССКАЯ ПРАВОСЛАВНАЯ ЦЕРКОВЬ В РОССИИ В КОНЦЕ ХХ ВЕКА</t>
  </si>
  <si>
    <t>Королева Л.А., Королев А.А., Мельниченко О.В.</t>
  </si>
  <si>
    <t>978-5-16-006023-1</t>
  </si>
  <si>
    <t>44.03.01, 44.03.05, 46.03.01, 46.04.01, 47.03.03, 47.04.03</t>
  </si>
  <si>
    <t>295900.10.01</t>
  </si>
  <si>
    <t>Русская цивилизация и фольклор. Мир сказки: Моногр. / А.А.Гагаев - М.:ИЦ РИОР,НИЦ ИНФРА-М,2026 - 202 с.(О)</t>
  </si>
  <si>
    <t>РУССКАЯ ЦИВИЛИЗАЦИЯ И ФОЛЬКЛОР. МИР СКАЗКИ</t>
  </si>
  <si>
    <t>978-5-369-01340-3</t>
  </si>
  <si>
    <t>45.03.01, 45.04.01, 46.03.01, 46.04.01</t>
  </si>
  <si>
    <t>796337.01.01</t>
  </si>
  <si>
    <t>Русский символизм как философия личности: Моногр. / Д.Д.Романов-М.:НИЦ ИНФРА-М,2023.-252 с.(П)</t>
  </si>
  <si>
    <t>РУССКИЙ СИМВОЛИЗМ КАК ФИЛОСОФИЯ ЛИЧНОСТИ. КОНЦЕПТУАЛЬНЫЙ АНАЛИЗ СОЦИАЛЬНОЙ ЭСТЕТИКИ</t>
  </si>
  <si>
    <t>Романов Д.Д.</t>
  </si>
  <si>
    <t>978-5-16-018161-5</t>
  </si>
  <si>
    <t>845810.04.01</t>
  </si>
  <si>
    <t>Русский язык в деловой документации / М.В.Марьева - М.:НИЦ ИНФРА-М,2026 - 323 с.(Интересно знать) (п)</t>
  </si>
  <si>
    <t>РУССКИЙ ЯЗЫК В ДЕЛОВОЙ ДОКУМЕНТАЦИИ</t>
  </si>
  <si>
    <t>Марьева М.В.</t>
  </si>
  <si>
    <t>978-5-16-020483-3</t>
  </si>
  <si>
    <t>00.02.34, 31.02.01, 40.02.02, 40.02.04, 46.02.01</t>
  </si>
  <si>
    <t>707070.03.01</t>
  </si>
  <si>
    <t>Русский язык: между неприязнью и любовью: Моногр./ Я.С.Турбовской-М.:НИЦ ИНФРА-М,2023-247с.(П)</t>
  </si>
  <si>
    <t>РУССКИЙ ЯЗЫК: МЕЖДУ НЕПРИЯЗНЬЮ И ЛЮБОВЬЮ</t>
  </si>
  <si>
    <t>978-5-16-015259-2</t>
  </si>
  <si>
    <t>44.04.01, 44.04.04, 45.04.01</t>
  </si>
  <si>
    <t>674951.10.01</t>
  </si>
  <si>
    <t>Самоорганизация и личная эффектив.: секреты и уроки .. / С.Д.Резник - 2 изд. - М.:ИНФРА-М,2024 - 286с.(п)</t>
  </si>
  <si>
    <t>САМООРГАНИЗАЦИЯ И ЛИЧНАЯ ЭФФЕКТИВНОСТЬ: СЕКРЕТЫ И УРОКИ ЖИЗНИ ОРГАНИЗОВАННОГО ЧЕЛОВЕКА, ИЗД.2</t>
  </si>
  <si>
    <t>Резник С.Д., Усов В.Р.</t>
  </si>
  <si>
    <t>978-5-16-020550-2</t>
  </si>
  <si>
    <t>38.03.01, 38.03.02, 38.03.03, 38.03.04, 38.04.01, 38.04.02, 38.04.03, 38.04.04</t>
  </si>
  <si>
    <t>0218</t>
  </si>
  <si>
    <t>674951.12.01</t>
  </si>
  <si>
    <t>Самоорганизация и личная эффектив.: секреты и уроки .. / С.Д.Резник - 3 изд. - М.:ИНФРА-М,2025 - 290c.(п)</t>
  </si>
  <si>
    <t>САМООРГАНИЗАЦИЯ И ЛИЧНАЯ ЭФФЕКТИВНОСТЬ: СЕКРЕТЫ И УРОКИ ЖИЗНИ ОРГАНИЗОВАННОГО ЧЕЛОВЕКА, ИЗД.3</t>
  </si>
  <si>
    <t>978-5-16-020522-9</t>
  </si>
  <si>
    <t>674951.02.01</t>
  </si>
  <si>
    <t>Самоорганизация и личная эффектив.: секреты и уроки жизни.../ С.Д.Резник-М:НИЦ ИНФРА-М,2018.-280с(П)</t>
  </si>
  <si>
    <t>САМООРГАНИЗАЦИЯ И ЛИЧНАЯ ЭФФЕКТИВНОСТЬ: СЕКРЕТЫ И УРОКИ ЖИЗНИ ОРГАНИЗОВАННОГО ЧЕЛОВЕКА</t>
  </si>
  <si>
    <t>978-5-16-013568-7</t>
  </si>
  <si>
    <t>734798.03.01</t>
  </si>
  <si>
    <t>Самосознание и личностный адаптац. потенциал при нормал. и... / Т.И.Кузьмина-М.:НИЦ ИНФРА-М,2024.-210 с.(О)</t>
  </si>
  <si>
    <t>САМОСОЗНАНИЕ И ЛИЧНОСТНЫЙ АДАПТАЦИОННЫЙ ПОТЕНЦИАЛ ПРИ НОРМАЛЬНОМ И НАРУШЕННОМ РАЗВИТИИ</t>
  </si>
  <si>
    <t>Кузьмина Т.И.</t>
  </si>
  <si>
    <t>978-5-16-016201-0</t>
  </si>
  <si>
    <t>37.03.01, 37.05.01, 37.06.01, 44.06.01</t>
  </si>
  <si>
    <t>654662.03.01</t>
  </si>
  <si>
    <t>Семейное право и концепция развит.семейного законодат.: Сб./ А.Е.Тарасова-М.:НИЦ ИНФРА,2019-484с(П)</t>
  </si>
  <si>
    <t>СЕМЕЙНОЕ ПРАВО И КОНЦЕПЦИЯ РАЗВИТИЯ СЕМЕЙНОГО ЗАКОНОДАТЕЛЬСТВА: МЕЖДУНАРОДНЫЕ СТАНДАРТЫ И РОССИЙСКАЯ МОДЕЛЬ</t>
  </si>
  <si>
    <t>Тарасова А.Е.</t>
  </si>
  <si>
    <t>978-5-16-013542-7</t>
  </si>
  <si>
    <t>40.02.02, 40.02.04, 40.03.01, 40.04.01, 40.05.02, 44.03.05</t>
  </si>
  <si>
    <t>856783.01.01</t>
  </si>
  <si>
    <t>Семейное право России и Китая в воп. и отв.: Справ. пос. / А.Г.Малинова-М.:Юр. НОРМА,2025.-200 с.(п)</t>
  </si>
  <si>
    <t>СЕМЕЙНОЕ ПРАВО РОССИИ И КИТАЯ В ВОПРОСАХ И ОТВЕТАХ</t>
  </si>
  <si>
    <t>Малинова А.Г., Османова Д.О.</t>
  </si>
  <si>
    <t>978-5-00156-441-6</t>
  </si>
  <si>
    <t>40.03.01, 40.05.01, 40.05.02, 40.05.04, 44.03.05, 44.05.01</t>
  </si>
  <si>
    <t>761784.04.01</t>
  </si>
  <si>
    <t>Семейный лад, или ценности семейного воспитания в России: Моногр. / Л.О.Володина - М.:НИЦ ИНФРА-М,2025. - 231 с.(О)</t>
  </si>
  <si>
    <t>СЕМЕЙНЫЙ ЛАД, ИЛИ ЦЕННОСТИ СЕМЕЙНОГО ВОСПИТАНИЯ В РОССИИ</t>
  </si>
  <si>
    <t>Володина Л.О.</t>
  </si>
  <si>
    <t>978-5-16-017167-8</t>
  </si>
  <si>
    <t>44.04.01, 44.04.02, 44.05.01, 44.06.01</t>
  </si>
  <si>
    <t>Вологодский государственный университет</t>
  </si>
  <si>
    <t>654677.04.01</t>
  </si>
  <si>
    <t>Сервис: термины и понятия: Сл./ Под ред. Гойхмана О.Я. - М.:НИЦ ИНФРА-М,2026 - 239 с.(Б-ка сл. ИНФРА-М)(П)</t>
  </si>
  <si>
    <t>СЕРВИС: ТЕРМИНЫ И ПОНЯТИЯ</t>
  </si>
  <si>
    <t>Гойхман О.Я., Зворыкина Т.И., Гончарова Л.М. и др.</t>
  </si>
  <si>
    <t>978-5-16-014474-0</t>
  </si>
  <si>
    <t>43.02.06, 43.02.16, 43.03.01, 43.03.02, 43.03.03, 43.04.01, 43.04.02, 43.04.03</t>
  </si>
  <si>
    <t>670750.03.01</t>
  </si>
  <si>
    <t>Сибирский текст в нац. сюжетном пространстве: Моногр. / И.А.Айзикова.-М.:НИЦ ИНФРА-М, СФУ,2021.-237 с.(П)</t>
  </si>
  <si>
    <t>СИБИРСКИЙ ТЕКСТ В НАЦИОНАЛЬНОМ СЮЖЕТНОМ ПРОСТРАНСТВЕ</t>
  </si>
  <si>
    <t>Айзикова И.А., Анисимов К.В., Замятин Д.Н. и др.</t>
  </si>
  <si>
    <t>978-5-16-016947-7</t>
  </si>
  <si>
    <t>423250.09.01</t>
  </si>
  <si>
    <t>Система качества вуза: Моногр. / В.В.Левшина - М.:НИЦ ИНФРА-М,2026. - 280 с.-(Научная мысль)(П)</t>
  </si>
  <si>
    <t>СИСТЕМА КАЧЕСТВА ВУЗА</t>
  </si>
  <si>
    <t>Левшина В.В.</t>
  </si>
  <si>
    <t>978-5-16-006574-8</t>
  </si>
  <si>
    <t>38.03.02, 38.04.02, 41.03.06</t>
  </si>
  <si>
    <t>668759.01.01</t>
  </si>
  <si>
    <t>Система культуры: новые детерминанты... Моногр. / Е.А.Ноздренко-М.:НИЦ ИНФРА-М, СФУ,2018-156с</t>
  </si>
  <si>
    <t>СИСТЕМА КУЛЬТУРЫ: НОВЫЕ ДЕТЕРМИНАНТЫ. РЕКЛАМА КАК ФАКТОР СОВРЕМЕННОГО КУЛЬТУРНО-ИСТОРИЧЕСКОГО ПРОЦЕССА</t>
  </si>
  <si>
    <t>Ноздренко Е.А., Копцева Н.П.</t>
  </si>
  <si>
    <t>978-5-16-013317-1</t>
  </si>
  <si>
    <t>260600.07.01</t>
  </si>
  <si>
    <t>Система письма в англ. яз. и совр. узус: Моногр. / Н.К.Иванова. - М.:ИЦ РИОР, НИЦ ИНФРА-М,2025  - 238 с.(о)</t>
  </si>
  <si>
    <t>СИСТЕМА ПИСЬМА В АНГЛИЙСКОМ ЯЗЫКЕ И СОВРЕМЕННЫЙ УЗУС: ЯЗЫК, ВИРТУАЛЬНАЯ КОММУНИКАЦИЯ, РЕКЛАМА</t>
  </si>
  <si>
    <t>Иванова Н.К., Кузьмина Р.В., Мощева С.В.</t>
  </si>
  <si>
    <t>978-5-369-01324-3</t>
  </si>
  <si>
    <t>481650.12.01</t>
  </si>
  <si>
    <t>Словарь аббревиатур и акронимов рус. яз. / И.А.Елисеев - М.:НИЦ ИНФРА-М,2026 - 718 с.(Б-ка сл."ИНФРА-М")(П)</t>
  </si>
  <si>
    <t>СЛОВАРЬ АББРЕВИАТУР И АКРОНИМОВ РУССКОГО ЯЗЫКА</t>
  </si>
  <si>
    <t>Елисеев И.А.</t>
  </si>
  <si>
    <t>978-5-16-010420-1</t>
  </si>
  <si>
    <t>45.03.01, 45.03.02</t>
  </si>
  <si>
    <t>415950.05.01</t>
  </si>
  <si>
    <t>Словарь аббревиатур испан. яз./ И.А.Елисеев-М.:НИЦ ИНФРА-М,2020-160с(Б-ка малых слов. "ИНФРА-М")(О)</t>
  </si>
  <si>
    <t>СЛОВАРЬ АББРЕВИАТУР ИСПАНСКОГО ЯЗЫКА</t>
  </si>
  <si>
    <t>Елисеев И. А.</t>
  </si>
  <si>
    <t>978-5-16-006453-6</t>
  </si>
  <si>
    <t>764292.04.01</t>
  </si>
  <si>
    <t>Словарь диалектных слов в романе М. А. Шолохова "Тихий Дон" / В.Г.Маслов-М.:НИЦ ИНФРА-М,2025.-176 с.(П)</t>
  </si>
  <si>
    <t>СЛОВАРЬ ДИАЛЕКТНЫХ СЛОВ В РОМАНЕ М. А. ШОЛОХОВА "ТИХИЙ ДОН"</t>
  </si>
  <si>
    <t>Маслов В.Г., Маслов Д.Я., Мохова Е.М.</t>
  </si>
  <si>
    <t>978-5-16-017230-9</t>
  </si>
  <si>
    <t>45.03.01, 45.03.02, 45.03.03, 45.04.01, 45.04.02, 45.04.04, 45.06.01</t>
  </si>
  <si>
    <t>003655.02.01</t>
  </si>
  <si>
    <t>Словарь современной экономич. теории Макмиллана /В.С.Автономов.-М.:ИНФРА-М, 2003. -608 с.(П)</t>
  </si>
  <si>
    <t>СЛОВАРЬ СОВРЕМЕННОЙ ЭКОНОМИЧЕСКОЙ ТЕОРИИ МАКМИЛЛАНА</t>
  </si>
  <si>
    <t>Автономов В. С., Пивовар А. Г., Пирс Д. У.</t>
  </si>
  <si>
    <t>5-86225-453-6</t>
  </si>
  <si>
    <t>38.03.01, 38.03.02, 38.03.03, 38.03.04, 38.03.05, 38.03.06, 38.03.07, 38.03.10, 38.04.01, 38.04.02, 38.04.03, 38.04.04, 38.04.05, 38.04.06, 38.04.07, 38.04.08, 38.04.09, 38.04.10, 38.05.01, 38.05.02</t>
  </si>
  <si>
    <t>098050.11.01</t>
  </si>
  <si>
    <t>Словарь терминов по акушерству, гинекологии..../ Г.Д.Некрасов - М.:Форум, НИЦ ИНФРА-М,2025 -112с.(О)</t>
  </si>
  <si>
    <t>СЛОВАРЬ ТЕРМИНОВ ПО АКУШЕРСТВУ, ГИНЕКОЛОГИИ И БИОТЕХНИКЕ РАЗМНОЖЕНИЯ ЖИВОТНЫХ</t>
  </si>
  <si>
    <t>Некрасов Г. Д., Суманова И. А.</t>
  </si>
  <si>
    <t>СПО</t>
  </si>
  <si>
    <t>978-5-91134-288-3</t>
  </si>
  <si>
    <t>19.02.11, 19.02.12, 36.01.01, 36.02.01, 36.02.03</t>
  </si>
  <si>
    <t>Рекомендовано Учебно-методическим объединением вузов РФ по образованию в области зоотехнии и ветеринарии в качестве учебного пособия для студентов вузов, обучающихся по специальности 110401 "Зоотехния"</t>
  </si>
  <si>
    <t>Алтайский государственный аграрный университет</t>
  </si>
  <si>
    <t>818812.01.01</t>
  </si>
  <si>
    <t>Слово и мысль: на один шаг вперед: Моногр. / В.К.Харченко-М.:НИЦ ИНФРА-М,2024.-219 с.(Науч.мысль)(п)</t>
  </si>
  <si>
    <t>СЛОВО И МЫСЛЬ: НА ОДИН ШАГ ВПЕРЕД</t>
  </si>
  <si>
    <t>978-5-16-019621-3</t>
  </si>
  <si>
    <t>45.03.03, 45.04.01, 45.04.02, 45.04.03, 45.06.01</t>
  </si>
  <si>
    <t>714974.04.01</t>
  </si>
  <si>
    <t>Словоизменение в словацком лит.  яз.: Моногр. / К.В.Лифанов-М.:НИЦ ИНФРА-М,2024.-121с(Науч.мысль)(О)</t>
  </si>
  <si>
    <t>СЛОВОИЗМЕНЕНИЕ В СЛОВАЦКОМ ЛИТЕРАТУРНОМ ЯЗЫКЕ</t>
  </si>
  <si>
    <t>Лифанов К.В.</t>
  </si>
  <si>
    <t>978-5-16-015692-7</t>
  </si>
  <si>
    <t>45.03.01, 45.04.01, 45.04.02, 45.06.01</t>
  </si>
  <si>
    <t>221700.05.01</t>
  </si>
  <si>
    <t>Словообразовательный потенциал соматизмов "сердце"...: Моногр. / Ж.Багана-М.:НИЦ ИНФРА-М,2024.-128 с.(О)</t>
  </si>
  <si>
    <t>СЛОВООБРАЗОВАТЕЛЬНЫЙ ПОТЕНЦИАЛ СОМАТИЗМОВ "СЕРДЦЕ" И "ГОЛОВА"</t>
  </si>
  <si>
    <t>Багана Ж., Кравченко О. Н.</t>
  </si>
  <si>
    <t>978-5-16-008975-1</t>
  </si>
  <si>
    <t>704972.01.01</t>
  </si>
  <si>
    <t>Смерть нарратива: Моногр. / С.В.Борзых - М.:НИЦ ИНФРА-М,2020 - 175 с.(Науч.мысль)(О)</t>
  </si>
  <si>
    <t>СМЕРТЬ НАРРАТИВА</t>
  </si>
  <si>
    <t>978-5-16-015083-3</t>
  </si>
  <si>
    <t>47.03.01, 47.04.01, 47.04.02, 47.06.01</t>
  </si>
  <si>
    <t>641460.03.01</t>
  </si>
  <si>
    <t>Совершенствование образоват. процесса вуза...: Моногр. / М.В.Самсонова - М.:НИЦ ИНФРА-М,2023 - 138с(О)</t>
  </si>
  <si>
    <t>СОВЕРШЕНСТВОВАНИЕ ОБРАЗОВАТЕЛЬНОГО ПРОЦЕССА ВУЗА, ОСНОВАННОГО НА КОМПЕТЕНТНОСТНОМ ПОДХОДЕ</t>
  </si>
  <si>
    <t>Самсонова М.В.</t>
  </si>
  <si>
    <t>978-5-16-013692-9</t>
  </si>
  <si>
    <t>44.03.01, 44.04.01</t>
  </si>
  <si>
    <t>Ульяновский государственный технический университет</t>
  </si>
  <si>
    <t>682553.05.01</t>
  </si>
  <si>
    <t>Современная англоязычная лит.: традиции и эксп.: Моногр. / Г.И.Лушникова - М.:НИЦ ИНФРА-М,2024-170с.(о)</t>
  </si>
  <si>
    <t>СОВРЕМЕННАЯ АНГЛОЯЗЫЧНАЯ ЛИТЕРАТУРА: ТРАДИЦИИ И ЭКСПЕРИМЕНТ</t>
  </si>
  <si>
    <t>Лушникова Г.И., Осадчая Т.Ю.</t>
  </si>
  <si>
    <t>978-5-16-017904-9</t>
  </si>
  <si>
    <t>45.04.01, 45.04.02, 51.04.01</t>
  </si>
  <si>
    <t>814781.01.01</t>
  </si>
  <si>
    <t>Современная рус. оригинальная рок-поэзия: Моногр. /Е.В.Локтевич-М.:НИЦ ИНФРА-М,2024.-199 с.(Науч.мысль)(п)</t>
  </si>
  <si>
    <t>СОВРЕМЕННАЯ РУССКАЯ ОРИГИНАЛЬНАЯ РОК-ПОЭЗИЯ: ТРАНСФОРМАЦИЯ СУБЪЕКТНОЙ ПАРАДИГМЫ</t>
  </si>
  <si>
    <t>Локтевич Е.В.</t>
  </si>
  <si>
    <t>978-5-16-019246-8</t>
  </si>
  <si>
    <t>44.04.01, 45.03.01, 45.03.99, 45.04.01, 45.06.01, 45.07.01, 52.05.04</t>
  </si>
  <si>
    <t>738107.05.01</t>
  </si>
  <si>
    <t>Современная технология обуч. ин. яз.: Моногр. / Т.Ю.Ломакина - М.:НИЦ ИНФРА-М,2023. - 194 с.(Науч.мысль)(О)</t>
  </si>
  <si>
    <t>СОВРЕМЕННАЯ ТЕХНОЛОГИЯ ОБУЧЕНИЯ ИНОСТРАННОМУ ЯЗЫКУ: ПРОЕКТИРОВАНИЕ И ОПЫТ</t>
  </si>
  <si>
    <t>Ломакина Т.Ю., Васильченко Н.В.</t>
  </si>
  <si>
    <t>978-5-16-016355-0</t>
  </si>
  <si>
    <t>44.03.01, 44.03.05, 44.04.01, 44.04.02, 44.04.04, 44.06.01</t>
  </si>
  <si>
    <t>823168.01.01</t>
  </si>
  <si>
    <t>Современное геополитическое положение РФ... / Под ред. Секушин В.И.-М.:НИЦ ИНФРА-М,2023.-94 с.(о)</t>
  </si>
  <si>
    <t>СОВРЕМЕННОЕ ГЕОПОЛИТИЧЕСКОЕ ПОЛОЖЕНИЕ РОССИЙСКОЙ ФЕДЕРАЦИИ: ИНФОРМАЦИОННО-АНАЛИТИЧЕСКИЙ ОБЗОР</t>
  </si>
  <si>
    <t>Секушин В.И.</t>
  </si>
  <si>
    <t>978-5-16-019716-6</t>
  </si>
  <si>
    <t>41.03.01, 41.03.02, 41.04.04, 41.04.06, 41.06.01</t>
  </si>
  <si>
    <t>668783.07.01</t>
  </si>
  <si>
    <t>Современное доп. образование взрослых: Моногр. / Под ред. Данилова С.В. - М.:НИЦ ИНФРА-М,2025. - 203с(П)</t>
  </si>
  <si>
    <t>СОВРЕМЕННОЕ ДОПОЛНИТЕЛЬНОЕ ОБРАЗОВАНИЕ ВЗРОСЛЫХ</t>
  </si>
  <si>
    <t>Данилов С.В., Глебова З.В., Дуброва Т.И. и др.</t>
  </si>
  <si>
    <t>978-5-16-013484-0</t>
  </si>
  <si>
    <t>44.03.04, 44.03.05, 44.04.01</t>
  </si>
  <si>
    <t>396900.09.01</t>
  </si>
  <si>
    <t>Современное правопонимание: Курс лекций / М.Н.Марченко - М.:Юр.Норма, НИЦ ИНФРА-М,2026 - 368с.(п)</t>
  </si>
  <si>
    <t>СОВРЕМЕННОЕ ПРАВОПОНИМАНИЕ</t>
  </si>
  <si>
    <t>Марченко М.Н., Ершов В.В., Ершова Е.А. и др.</t>
  </si>
  <si>
    <t>НОРМА</t>
  </si>
  <si>
    <t>978-5-91768-656-1</t>
  </si>
  <si>
    <t>Профессиональное образование / ВО - Магистратура</t>
  </si>
  <si>
    <t>40.03.01, 40.04.01, 40.05.01, 40.05.02, 40.05.03, 40.05.04, 44.03.05</t>
  </si>
  <si>
    <t>Московский государственный университет им. М.В. Ломоносова, юридический факультет</t>
  </si>
  <si>
    <t>766878.01.01</t>
  </si>
  <si>
    <t>Современное юридическое образование: Моногр. / В.В.Блажеев.-М.:Юр.Норма, НИЦ ИНФРА-М,2022.-400 с.(П)</t>
  </si>
  <si>
    <t>СОВРЕМЕННОЕ ЮРИДИЧЕСКОЕ ОБРАЗОВАНИЕ: ТРАДИЦИИ И ИННОВАЦИИ УНИВЕРСИТЕТА ИМЕНИ О.Е.КУТАФИНА (МГЮА)</t>
  </si>
  <si>
    <t>Блажеев В.В., Мажорина М.В., Агафонов В.Б. и др.</t>
  </si>
  <si>
    <t>978-5-00156-203-0</t>
  </si>
  <si>
    <t>670292.02.01</t>
  </si>
  <si>
    <t>Современные вызовы юр. проф. и юрид.образования /Под ред. Тарасовой А.Е.-М.:НИЦ ИНФРА-М,2019-140с(О)</t>
  </si>
  <si>
    <t>СОВРЕМЕННЫЕ ВЫЗОВЫ ЮРИДИЧЕСКОЙ ПРОФЕССИИ И ЮРИДИЧЕСКОГО ОБРАЗОВАНИЯ</t>
  </si>
  <si>
    <t>Тарасова А.Е., Бардин Л.Н., Шимбарева Н.Г. и др.</t>
  </si>
  <si>
    <t>978-5-16-013481-9</t>
  </si>
  <si>
    <t>665755.03.01</t>
  </si>
  <si>
    <t>Современные проблемы естест.-матем. образ.в период.:Моногр./ В.В.Артемьева-М.:НИЦ ИНФРА-М,2023-200с.</t>
  </si>
  <si>
    <t>СОВРЕМЕННЫЕ ПРОБЛЕМЫ ЕСТЕСТВЕННО-МАТЕМАТИЧЕСКОГО ОБРАЗОВАНИЯ В ПЕРИОД ДЕТСТВА</t>
  </si>
  <si>
    <t>Артемьева В.В., Бывшева М.В., Волкова Н.А. и др.</t>
  </si>
  <si>
    <t>978-5-16-013271-6</t>
  </si>
  <si>
    <t>44.03.01, 44.03.02, 44.03.05</t>
  </si>
  <si>
    <t>708392.02.01</t>
  </si>
  <si>
    <t>Современные проблемы педагогики и образ.: Моногр. / Я.С.Турбовской-М.:НИЦ ИНФРА-М,2023.-320 с.(П)</t>
  </si>
  <si>
    <t>СОВРЕМЕННЫЕ ПРОБЛЕМЫ ПЕДАГОГИКИ И ОБРАЗОВАНИЯ</t>
  </si>
  <si>
    <t>978-5-16-015285-1</t>
  </si>
  <si>
    <t>44.03.01, 44.03.02, 44.03.04, 44.03.05, 44.04.01, 44.04.02, 44.04.04, 44.06.01</t>
  </si>
  <si>
    <t>448400.09.01</t>
  </si>
  <si>
    <t>Современные программы матем. обр. дош.: Моногр. / А.В.Белошистая - 2 изд. - М.:НИЦ ИНФРА-М,2026 - 252 с. (о)</t>
  </si>
  <si>
    <t>СОВРЕМЕННЫЕ ПРОГРАММЫ МАТЕМАТИЧЕСКОГО ОБРАЗОВАНИЯ ДОШКОЛЬНИКОВ, ИЗД.2</t>
  </si>
  <si>
    <t>Практическая педагогика</t>
  </si>
  <si>
    <t>978-5-16-019235-2</t>
  </si>
  <si>
    <t>44.02.01, 44.03.01, 44.03.05, 44.04.01, 44.04.04</t>
  </si>
  <si>
    <t>342700.06.01</t>
  </si>
  <si>
    <t>Современные технол.обраб.металлов и сплавов: Сб.науч.-тех.ст./Баберцян С.А. - М.:НИЦ ИНФРА-М,2025 - 252 с.(О)</t>
  </si>
  <si>
    <t>СОВРЕМЕННЫЕ ТЕХНОЛОГИИ ОБРАБОТКИ МЕТАЛЛОВ И СПЛАВОВ</t>
  </si>
  <si>
    <t>Баберцян С.А., Бекетов А.Б., Беспалов А.В. и др.</t>
  </si>
  <si>
    <t>978-5-16-010767-7</t>
  </si>
  <si>
    <t>15.02.01, 15.02.16, 15.02.17, 15.03.05, 15.06.01, 22.04.01, 22.04.02</t>
  </si>
  <si>
    <t>Московский авиационный институт (национальный исследовательский университет)</t>
  </si>
  <si>
    <t>766525.03.01</t>
  </si>
  <si>
    <t>Современные электромонтажные изделия и устройства... / Ю.Д.Сибикин, - 2 изд.,-М.:НИЦ ИНФРА-М,2025.-510 с.</t>
  </si>
  <si>
    <t>СОВРЕМЕННЫЕ ЭЛЕКТРОМОНТАЖНЫЕ ИЗДЕЛИЯ И УСТРОЙСТВА НА НАПРЯЖЕНИЕ ДО 1000 ВОЛЬТ, ИЗД.2</t>
  </si>
  <si>
    <t>Сибикин Ю.Д.</t>
  </si>
  <si>
    <t>978-5-16-017538-6</t>
  </si>
  <si>
    <t>08.01.31</t>
  </si>
  <si>
    <t>289400.01.01</t>
  </si>
  <si>
    <t>Современный конституцион.: вызовы и перспективы /В.Д.Зорькин -М.:Юр.Норма,НИЦ ИНФРА-М,2016-480с.(П)</t>
  </si>
  <si>
    <t>СОВРЕМЕННЫЙ КОНСТИТУЦИОНАЛИЗМ: ВЫЗОВЫ И ПЕРСПЕКТИВЫ</t>
  </si>
  <si>
    <t>Зорькин В.Д.</t>
  </si>
  <si>
    <t>978-5-91768-514-4</t>
  </si>
  <si>
    <t>Материалы конференции (съезда, симпозиума)</t>
  </si>
  <si>
    <t>Конституционный суд Российской Федерации</t>
  </si>
  <si>
    <t>405950.12.01</t>
  </si>
  <si>
    <t>Современный словарь по общественным наукам / О.Г.Данильян - М.:НИЦ ИНФРА-М,2025 - 314 с(П)</t>
  </si>
  <si>
    <t>СОВРЕМЕННЫЙ СЛОВАРЬ ПО ОБЩЕСТВЕННЫМ НАУКАМ</t>
  </si>
  <si>
    <t>Данильян О.Г.</t>
  </si>
  <si>
    <t>978-5-16-005612-8</t>
  </si>
  <si>
    <t>Общественные науки в целом</t>
  </si>
  <si>
    <t>Юридическая академия Украины им. Ярослава Мудрого</t>
  </si>
  <si>
    <t>109000.15.01</t>
  </si>
  <si>
    <t>Современный социоэкономич. словарь / Б.А. Райзберг. -ИНФРА-М, 2024. -629с.(Б-ка слов. "ИНФРА-М") (п)</t>
  </si>
  <si>
    <t>СОВРЕМЕННЫЙ СОЦИОЭКОНОМИЧЕСКИЙ СЛОВАРЬ</t>
  </si>
  <si>
    <t>Райзберг Б. А.</t>
  </si>
  <si>
    <t>978-5-16-003670-0</t>
  </si>
  <si>
    <t>38.03.01, 38.03.02, 39.03.01</t>
  </si>
  <si>
    <t>Московская Школа Экономики</t>
  </si>
  <si>
    <t>002238.26.01</t>
  </si>
  <si>
    <t>Современный эконом. словарь / Б.А.Райзберг - 6 изд. - М.:НИЦ ИНФРА-М,2025 - 512 с. - (Б-ка сл."ИНФРА-М")(П)</t>
  </si>
  <si>
    <t>СОВРЕМЕННЫЙ ЭКОНОМИЧЕСКИЙ СЛОВАРЬ, ИЗД.6</t>
  </si>
  <si>
    <t>Райзберг Б.А., Лозовский Л.Ш., Стародубцева Е.Б. и др.</t>
  </si>
  <si>
    <t>978-5-16-009966-8</t>
  </si>
  <si>
    <t>00.03.13, 00.05.13, 38.03.01, 38.03.02, 38.03.03, 38.03.04, 38.03.05, 38.03.06, 38.03.07, 38.03.10, 38.04.08, 38.04.09, 38.05.01, 38.05.02</t>
  </si>
  <si>
    <t>0608</t>
  </si>
  <si>
    <t>001458.09.01</t>
  </si>
  <si>
    <t>Сократ: Моногр. / В.С. Нерсесянц. - 2 изд. - М.: Норма:  НИЦ Инфра-М, 2025. - 240 с. (о)</t>
  </si>
  <si>
    <t>СОКРАТ, ИЗД.2</t>
  </si>
  <si>
    <t>978-5-91768-305-8</t>
  </si>
  <si>
    <t>47.03.01, 47.03.02, 47.03.03, 47.04.01, 47.04.02, 47.04.03</t>
  </si>
  <si>
    <t>001458.10.01</t>
  </si>
  <si>
    <t>Сократ: Моногр/ / В.С. Нерсесянц. - 2 изд. - М.: Норма:  НИЦ Инфра-М, 2025. - 240 с. (о)</t>
  </si>
  <si>
    <t>СОКРАТ</t>
  </si>
  <si>
    <t>0196</t>
  </si>
  <si>
    <t>349900.0022.01</t>
  </si>
  <si>
    <t>Солнечно-земная физика, 2020, том 6, № 2</t>
  </si>
  <si>
    <t>СОЛНЕЧНО-ЗЕМНАЯ ФИЗИКА, 2020, ТОМ 6, № 2</t>
  </si>
  <si>
    <t>Институт солнечно-земной физики СО РАН</t>
  </si>
  <si>
    <t>706936.05.01</t>
  </si>
  <si>
    <t>Сотворчество в муз. искусстве и муз. обр.: Моногр. / Е.Ю.Куприна - М.:НИЦ ИНФРА-М,2026 - 320 с.(Науч.мысль)(О)</t>
  </si>
  <si>
    <t>СОТВОРЧЕСТВО В МУЗЫКАЛЬНОМ ИСКУССТВЕ И МУЗЫКАЛЬНОМ ОБРАЗОВАНИИ</t>
  </si>
  <si>
    <t>Куприна Е.Ю.</t>
  </si>
  <si>
    <t>978-5-16-015179-3</t>
  </si>
  <si>
    <t>53.04.01, 53.04.02, 53.04.03, 53.04.04, 53.04.06, 53.05.01, 53.05.02, 53.05.05, 53.09.01, 53.09.02, 53.09.03, 53.09.04, 53.09.05</t>
  </si>
  <si>
    <t>639312.03.01</t>
  </si>
  <si>
    <t>Социалистическая и радикал.традиц.в литер.США:Моногр./Б.А.Гиленсон- 2 изд.-М.:НИЦ ИНФРА-М,2023-390с.</t>
  </si>
  <si>
    <t>СОЦИАЛИСТИЧЕСКАЯ И РАДИКАЛЬНАЯ ТРАДИЦИИ В ЛИТЕРАТУРЕ США, ИЗД.2</t>
  </si>
  <si>
    <t>978-5-16-012269-4</t>
  </si>
  <si>
    <t>726079.01.01</t>
  </si>
  <si>
    <t>Социальная диалектика предыстории: Моногр. / С.Н.Некрасов - М.:НИЦ ИНФРА-М,2021 - 640 с.(Науч.мысль)(П)</t>
  </si>
  <si>
    <t>СОЦИАЛЬНАЯ ДИАЛЕКТИКА ПРЕДЫСТОРИИ</t>
  </si>
  <si>
    <t>Некрасов С.Н., Ветошкин А.П.</t>
  </si>
  <si>
    <t>978-5-16-016024-5</t>
  </si>
  <si>
    <t>636896.10.01</t>
  </si>
  <si>
    <t>Социальная психология общения...: Моногр. / А.Л.Свенцицкий - 2 изд. - М.:НИЦ ИНФРА-М,2025. - 389 с.(П)</t>
  </si>
  <si>
    <t>СОЦИАЛЬНАЯ ПСИХОЛОГИЯ ОБЩЕНИЯ: ТЕОРИЯ И ПРАКТИКА, ИЗД.2</t>
  </si>
  <si>
    <t>Свенцицкий А.Л., Почебут Л.Г., Гуриева С.Д. и др.</t>
  </si>
  <si>
    <t>978-5-16-014192-3</t>
  </si>
  <si>
    <t>07.02.01, 08.02.01, 09.02.06, 26.02.04, 37.03.01, 38.03.04, 44.03.01, 44.03.05</t>
  </si>
  <si>
    <t>636896.03.01</t>
  </si>
  <si>
    <t>Социальная психология общения: Моногр. / Под ред. Свенцицкого А.Л.-М.:НИЦ ИНФРА-М,2018-256с.(П)</t>
  </si>
  <si>
    <t>СОЦИАЛЬНАЯ ПСИХОЛОГИЯ ОБЩЕНИЯ</t>
  </si>
  <si>
    <t>Свенцицкий А.Л., Панфёров В.Н., Куликов Л.В. и др.</t>
  </si>
  <si>
    <t>978-5-16-012186-4</t>
  </si>
  <si>
    <t>485250.10.01</t>
  </si>
  <si>
    <t>Социальная работа: Сл. терминов / Е.Н.Приступа - М.:Форум, НИЦ ИНФРА-М,2024-232 с.(Б-ка сл. ИНФРА-М)(О)</t>
  </si>
  <si>
    <t>СОЦИАЛЬНАЯ РАБОТА: СЛОВАРЬ ТЕРМИНОВ</t>
  </si>
  <si>
    <t>Приступа Е.Н., Приступа Е.Н., Степичев П.А. и др.</t>
  </si>
  <si>
    <t>978-5-00091-764-0</t>
  </si>
  <si>
    <t>39.02.01, 39.03.01, 39.03.02, 39.03.03, 39.04.01, 39.04.02, 39.04.03, 40.02.04</t>
  </si>
  <si>
    <t>Рекомендовано в качестве учебного пособия для студентов высших учебных заведений, обучающихся по направлению подготовки 39.03.02 «Социальная работа» (квалификация (степень) «бакалавр»)</t>
  </si>
  <si>
    <t>Институт развития, здоровья и адаптации ребенка</t>
  </si>
  <si>
    <t>710223.03.01</t>
  </si>
  <si>
    <t>Социальное благополучие человека: Сб. науч. трудов / В.В.Комарова.-М.:Юр. НОРМА, НИЦ ИНФРА-М,2022.-240 с.(П)</t>
  </si>
  <si>
    <t>СОЦИАЛЬНОЕ БЛАГОПОЛУЧИЕ ЧЕЛОВЕКА</t>
  </si>
  <si>
    <t>Комарова В.В., Беше-Головко К., Чиркин В.Е. и др.</t>
  </si>
  <si>
    <t>978-5-00156-002-9</t>
  </si>
  <si>
    <t>39.03.02, 39.04.01, 39.04.02, 40.03.01, 40.04.01</t>
  </si>
  <si>
    <t>475050.04.01</t>
  </si>
  <si>
    <t>Социальные науки как предмет философ. и социолог. дискурса: Моногр./А.М.Орехов - ИНФРА-М, 2019-172с.</t>
  </si>
  <si>
    <t>СОЦИАЛЬНЫЕ НАУКИ КАК ПРЕДМЕТ ФИЛОСОФСКОГО И СОЦИОЛОГИЧЕСКОГО ДИСКУРСА</t>
  </si>
  <si>
    <t>Орехов А. М.</t>
  </si>
  <si>
    <t>978-5-16-010202-3</t>
  </si>
  <si>
    <t>39.03.01, 39.04.01, 40.03.01, 44.03.01, 44.03.05, 47.03.01, 47.04.01</t>
  </si>
  <si>
    <t>475050.06.01</t>
  </si>
  <si>
    <t>Социальные науки как предмет философ. и..: Моногр. / А.М.Орехов, - 2 изд.-М.:НИЦ ИНФРА-М,2023.-201с(О)</t>
  </si>
  <si>
    <t>СОЦИАЛЬНЫЕ НАУКИ КАК ПРЕДМЕТ ФИЛОСОФСКОГО И СОЦИОЛОГИЧЕСКОГО ДИСКУРСА, ИЗД.2</t>
  </si>
  <si>
    <t>978-5-16-014588-4</t>
  </si>
  <si>
    <t>161950.03.01</t>
  </si>
  <si>
    <t>Социальные смыслы: Монография / С.В.Борзых - М.:НИЦ ИНФРА-М,2020 - 123 с.-(Науч.мысль)(О)</t>
  </si>
  <si>
    <t>СОЦИАЛЬНЫЕ СМЫСЛЫ</t>
  </si>
  <si>
    <t>978-5-16-005149-9</t>
  </si>
  <si>
    <t>700137.02.01</t>
  </si>
  <si>
    <t>Социальный дискурс: Монография / С.В.Борзых-М.:НИЦ ИНФРА-М,2023.-145 с..-(Науч.мысль)(О)</t>
  </si>
  <si>
    <t>СОЦИАЛЬНЫЙ ДИСКУРС</t>
  </si>
  <si>
    <t>978-5-16-014770-3</t>
  </si>
  <si>
    <t>720243.04.01</t>
  </si>
  <si>
    <t>Социальный роман А. Слаповского...: Моногр. / Т.А.Дикун - М.:НИЦ ИНФРА-М,2024 - 178 с.(Науч.мысль)(О)</t>
  </si>
  <si>
    <t>СОЦИАЛЬНЫЙ РОМАН А. СЛАПОВСКОГО: ЖАНРОВЫЕ МОДИФИКАЦИИ И ЭВОЛЮЦИЯ ГЕРОЯ</t>
  </si>
  <si>
    <t>Дикун Т.А.</t>
  </si>
  <si>
    <t>978-5-16-015735-1</t>
  </si>
  <si>
    <t>Иркутский национальный исследовательский технический университет</t>
  </si>
  <si>
    <t>313600.07.01</t>
  </si>
  <si>
    <t>Социокультурные основания и специф. кича в графич..: Моногр. / Р.Ю.Овчинникова - Магистр, ИНФРА-М, 2026 - 136 с.(о)</t>
  </si>
  <si>
    <t>СОЦИОКУЛЬТУРНЫЕ ОСНОВАНИЯ И СПЕЦИФИКА КИЧА В ГРАФИЧЕСКОМ ДИЗАЙНЕ</t>
  </si>
  <si>
    <t>Овчинникова Р.Ю.</t>
  </si>
  <si>
    <t>978-5-9776-0335-5</t>
  </si>
  <si>
    <t>54.04.01</t>
  </si>
  <si>
    <t>099000.10.01</t>
  </si>
  <si>
    <t>Социологический словарь / Г.В.Осипов - М.:НОРМА, НИЦ ИНФРА-М,2025 - 608 с.(П)</t>
  </si>
  <si>
    <t>СОЦИОЛОГИЧЕСКИЙ СЛОВАРЬ</t>
  </si>
  <si>
    <t>Осипов Г. В., Москвичев Л. Н.</t>
  </si>
  <si>
    <t>978-5-91768-098-9</t>
  </si>
  <si>
    <t>788907.05.01</t>
  </si>
  <si>
    <t>Специальная дидактика цифр. обр. обуч. с огранич... / Т.Ю.Бутусова. - М.:НИЦ ИНФРА-М,2025. - 183 с.(О)</t>
  </si>
  <si>
    <t>СПЕЦИАЛЬНАЯ ДИДАКТИКА ЦИФРОВОГО ОБРАЗОВАНИЯ ОБУЧАЮЩИХСЯ С ОГРАНИЧЕННЫМИ ВОЗМОЖНОСТЯМИ ЗДОРОВЬЯ</t>
  </si>
  <si>
    <t>Бутусова Т.Ю., Гриншкун А.В., Закрепина А.В. и др.</t>
  </si>
  <si>
    <t>978-5-16-018305-3</t>
  </si>
  <si>
    <t>44.04.01, 44.04.02, 44.04.03, 44.06.01, 44.07.01</t>
  </si>
  <si>
    <t>646423.12.01</t>
  </si>
  <si>
    <t>Специальная и общая философия науки: Энц. словарь / В.А.Канке - М.:НИЦ ИНФРА-М,2025 - 630 с.(П)</t>
  </si>
  <si>
    <t>СПЕЦИАЛЬНАЯ И ОБЩАЯ ФИЛОСОФИЯ НАУКИ: ЭНЦИКЛОПЕДИЧЕСКИЙ СЛОВАРЬ</t>
  </si>
  <si>
    <t>978-5-16-012809-2</t>
  </si>
  <si>
    <t>44.00.00, 38.04.01, 38.04.02, 38.04.03, 38.04.04, 38.04.05, 40.04.01, 44.04.01, 44.04.02, 44.04.03, 44.04.04, 47.03.01, 47.04.01</t>
  </si>
  <si>
    <t>034250.18.01</t>
  </si>
  <si>
    <t>Справочник по доказ. в гражд. судопроизв. / И.В.Решетникова - 6 изд.-М.:Норма,НИЦ ИНФРА-М,2019-448с</t>
  </si>
  <si>
    <t>СПРАВОЧНИК ПО ДОКАЗЫВАНИЮ В ГРАЖДАНСКОМ СУДОПРОИЗВОДСТВЕ, ИЗД.6</t>
  </si>
  <si>
    <t>Решетникова И.В.</t>
  </si>
  <si>
    <t>978-5-91768-722-3</t>
  </si>
  <si>
    <t>40.02.04, 40.03.01, 40.04.01</t>
  </si>
  <si>
    <t>0616</t>
  </si>
  <si>
    <t>034250.30.01</t>
  </si>
  <si>
    <t>Справочник по доказ. в гражд. судопроизв. / И.В.Решетникова - 7 изд. - М.:Норма,НИЦ ИНФРА-М,2025 - 472 с.(П)</t>
  </si>
  <si>
    <t>СПРАВОЧНИК ПО ДОКАЗЫВАНИЮ В ГРАЖДАНСКОМ СУДОПРОИЗВОДСТВЕ, ИЗД.7</t>
  </si>
  <si>
    <t>Решетникова И.В., Закарлюка А.В., Звягинцева Л.М. и др.</t>
  </si>
  <si>
    <t>978-5-00156-077-7</t>
  </si>
  <si>
    <t>0720</t>
  </si>
  <si>
    <t>034250.32.01</t>
  </si>
  <si>
    <t>Справочник по доказ. в гражд. судопроизв. / И.В.Решетникова - 8 изд.- М.:Норма,НИЦ ИНФРА-М,2026 - 512 с.(П)</t>
  </si>
  <si>
    <t>СПРАВОЧНИК ПО ДОКАЗЫВАНИЮ В ГРАЖДАНСКОМ СУДОПРОИЗВОДСТВЕ, ИЗД.8</t>
  </si>
  <si>
    <t>Решетникова И.В., Малов А.А., Царегородцева Е.А. и др.</t>
  </si>
  <si>
    <t>978-5-00156-439-3</t>
  </si>
  <si>
    <t>0825</t>
  </si>
  <si>
    <t>485200.17.01</t>
  </si>
  <si>
    <t>Справочник по доказыванию в адм. судопроизв. / И.В.Решетников - 2 изд. - М.:Юр.Норма, НИЦ ИНФРА-М,2025 - 160 с.(П)</t>
  </si>
  <si>
    <t>СПРАВОЧНИК ПО ДОКАЗЫВАНИЮ В АДМИНИСТРАТИВНОМ СУДОПРОИЗВОДСТВЕ, ИЗД.2</t>
  </si>
  <si>
    <t>Решетникова И.В., Куликова М.А., Царегородцева Е.А.</t>
  </si>
  <si>
    <t>978-5-00156-060-9</t>
  </si>
  <si>
    <t>38.03.04, 40.02.02, 40.02.04, 40.03.01, 40.04.01, 40.06.01, 44.03.05</t>
  </si>
  <si>
    <t>485200.18.01</t>
  </si>
  <si>
    <t>Справочник по доказыванию в адм. судопроизв. / И.В.Решетников - 3 изд. - М.:Юр.Норма, НИЦ ИНФРА-М,2026 - 164 с.(П)</t>
  </si>
  <si>
    <t>СПРАВОЧНИК ПО ДОКАЗЫВАНИЮ В АДМИНИСТРАТИВНОМ СУДОПРОИЗВОДСТВЕ, ИЗД.3</t>
  </si>
  <si>
    <t>Решетникова И.В., Царегородцева Е.А., Куликова М.А.</t>
  </si>
  <si>
    <t>978-5-00156-452-2</t>
  </si>
  <si>
    <t>0326</t>
  </si>
  <si>
    <t>485200.06.01</t>
  </si>
  <si>
    <t>Справочник по доказыванию в админ.судопроизв. /И.В.Решетникова -М.:Юр.Норма, НИЦ ИНФРА-М,2019-128(О)</t>
  </si>
  <si>
    <t>СПРАВОЧНИК ПО ДОКАЗЫВАНИЮ В АДМИНИСТРАТИВНОМ СУДОПРОИЗВОДСТВЕ</t>
  </si>
  <si>
    <t>978-5-91768-714-8</t>
  </si>
  <si>
    <t>718666.06.01</t>
  </si>
  <si>
    <t>Справочник по доказыванию в арбитраж. процес. / И.В.Решетникова - 2 изд.-М.:Юр. НОРМА, НИЦ ИНФРА-М,2023.-480 с.(П)</t>
  </si>
  <si>
    <t>СПРАВОЧНИК ПО ДОКАЗЫВАНИЮ В АРБИТРАЖНОМ ПРОЦЕССЕ, ИЗД.2</t>
  </si>
  <si>
    <t>Решетникова И.В., Куликова М.А., Вербенко Т.Л. и др.</t>
  </si>
  <si>
    <t>978-5-00156-225-2</t>
  </si>
  <si>
    <t>40.03.01, 40.04.01, 40.05.04, 40.06.01</t>
  </si>
  <si>
    <t>718666.04.01</t>
  </si>
  <si>
    <t>Справочник по доказыванию в арбитраж. процес. / И.В.Решетникова-М.:Юр.Норма, НИЦ ИНФРА-М,2021.-360 с.(П)</t>
  </si>
  <si>
    <t>СПРАВОЧНИК ПО ДОКАЗЫВАНИЮ В АРБИТРАЖНОМ ПРОЦЕССЕ</t>
  </si>
  <si>
    <t>978-5-00156-024-1</t>
  </si>
  <si>
    <t>718666.08.01</t>
  </si>
  <si>
    <t>Справочник по доказыванию в арбитраж. процессе / И.В.Решетникова - 3 изд. - М.:Юр. НОРМА, НИЦ ИНФРА-М,2026 - 544 с.(П)</t>
  </si>
  <si>
    <t>СПРАВОЧНИК ПО ДОКАЗЫВАНИЮ В АРБИТРАЖНОМ ПРОЦЕССЕ, ИЗД.3</t>
  </si>
  <si>
    <t>Решетникова И.В., Вербенко Т.Л., Сердитова Е.Н. и др.</t>
  </si>
  <si>
    <t>978-5-00156-442-3</t>
  </si>
  <si>
    <t>319100.11.01</t>
  </si>
  <si>
    <t>Справочник по машиностроительному черчению / А.А.Чекмарев, - 11 изд. - М.:НИЦ ИНФРА-М,2025. - 494 с.(п)</t>
  </si>
  <si>
    <t>СПРАВОЧНИК ПО МАШИНОСТРОИТЕЛЬНОМУ ЧЕРЧЕНИЮ, ИЗД.11</t>
  </si>
  <si>
    <t>Чекмарев А.А., Осипов В.К.</t>
  </si>
  <si>
    <t>978-5-16-010417-1</t>
  </si>
  <si>
    <t>15.01.13, 15.01.17, 15.01.18, 15.01.22, 15.01.29, 15.01.35, 15.01.36, 15.01.37, 15.01.38, 15.02.01, 15.02.03, 15.02.04, 15.02.06, 15.02.07, 15.02.09, 15.02.10, 15.02.16, 15.02.17, 15.02.18, 15.02.19, 15.03.01, 15.03.02, 15.03.03, 15.03.04, 15.03.05, 15.03.06, 23.02.07, 24.02.01</t>
  </si>
  <si>
    <t>1114</t>
  </si>
  <si>
    <t>645768.12.01</t>
  </si>
  <si>
    <t>Справочник экономиста предпр.: Справ. / Под ред. Акуленко Н.Б. - М.:НИЦ ИНФРА-М,2025. - 424 с.(Справ. ИНФРА-М)(П)</t>
  </si>
  <si>
    <t>СПРАВОЧНИК ЭКОНОМИСТА ПРЕДПРИЯТИЯ</t>
  </si>
  <si>
    <t>Акуленко Н.Б., Кукушкин С.Н., Кучеренко А.И.</t>
  </si>
  <si>
    <t>978-5-16-012424-7</t>
  </si>
  <si>
    <t>38.03.01, 38.03.02, 38.03.03, 38.03.04, 38.03.05, 38.03.06, 38.04.01, 38.04.02, 38.04.03, 38.04.04, 38.04.05, 38.04.06, 38.04.08</t>
  </si>
  <si>
    <t>670735.07.01</t>
  </si>
  <si>
    <t>Справочник электрика по ремонту электрооборуд... / М.Ю.Сибикин, - 2 изд. - М.:НИЦ ИНФРА-М,2026. - 262 с.(п)</t>
  </si>
  <si>
    <t>СПРАВОЧНИК ЭЛЕКТРИКА ПО РЕМОНТУ ЭЛЕКТРООБОРУДОВАНИЯ ПРОМЫШЛЕННЫХ ПРЕДПРИЯТИЙ, ИЗД.2</t>
  </si>
  <si>
    <t>Сибикин М.Ю.</t>
  </si>
  <si>
    <t>978-5-16-017615-4</t>
  </si>
  <si>
    <t>00.02.39, 08.02.09, 11.01.02, 11.01.05, 11.01.06, 11.01.07, 11.02.14, 11.02.16, 12.02.04, 13.01.07, 13.01.10, 13.02.07, 13.02.09, 13.02.12, 13.02.13, 18.01.28, 21.01.15, 26.01.05, 26.02.04, 26.02.05, 26.02.06, 35.01.15</t>
  </si>
  <si>
    <t>450810.0133.01</t>
  </si>
  <si>
    <t>Стандарты и мониторинг в образовании, 2024, № 3</t>
  </si>
  <si>
    <t>СТАНДАРТЫ И МОНИТОРИНГ В ОБРАЗОВАНИИ, 2024, № 3</t>
  </si>
  <si>
    <t>450810.0140.01</t>
  </si>
  <si>
    <t>Стандарты и мониторинг в образовании, 2025, № 4</t>
  </si>
  <si>
    <t>СТАНДАРТЫ И МОНИТОРИНГ В ОБРАЗОВАНИИ, 2025, № 4</t>
  </si>
  <si>
    <t>169550.06.01</t>
  </si>
  <si>
    <t>Становление гос. Древнего Новгорода.: Моногр. / М.В.Амосов - 2 изд. - М.:ИЦ РИОР,НИЦ ИНФРА-М,2025 - 204 с.(о)</t>
  </si>
  <si>
    <t>СТАНОВЛЕНИЕ ГОСУДАРСТВЕННОСТИ ДРЕВНЕГО НОВГОРОДА И МОНУМЕНТАЛЬНОГО ЗОДЧЕСТВА, ИЗД.2</t>
  </si>
  <si>
    <t>Амосов М.В.</t>
  </si>
  <si>
    <t>978-5-369-01141-6</t>
  </si>
  <si>
    <t>07.03.01, 07.03.03, 07.04.01, 07.04.03, 44.03.01, 44.03.05, 46.03.01, 46.03.02, 46.04.01, 46.04.02, 51.03.04, 51.04.04, 54.03.04, 54.04.04</t>
  </si>
  <si>
    <t>Театр Классического Балета Наталии Касаткиной и Владимира Василёва</t>
  </si>
  <si>
    <t>399300.07.01</t>
  </si>
  <si>
    <t>Становление экол.культуры и разв.ребенка..: Моногр. / С.Н.Николаева - НИЦ ИНФРА-М,2026 - 198с.(Науч.мысль)(о)</t>
  </si>
  <si>
    <t>СТАНОВЛЕНИЕ ЭКОЛОГИЧЕСКОЙ КУЛЬТУРЫ И РАЗВИТИЕ РЕБЕНКА СТАРШЕГО ДОШКОЛЬНОГО ВОЗРАСТА</t>
  </si>
  <si>
    <t>НиколаеваС.Н.</t>
  </si>
  <si>
    <t>978-5-16-011279-4</t>
  </si>
  <si>
    <t>801387.02.01</t>
  </si>
  <si>
    <t>Старообрядцы в России: ист. и совр., экономика...: Моногр. / В.П.Столбов - М.:НИЦ ИНФРА-М,2025. - 212 с.(п)</t>
  </si>
  <si>
    <t>СТАРООБРЯДЦЫ В РОССИИ: ИСТОРИЯ И СОВРЕМЕННОСТЬ, ЭКОНОМИКА, ЭТИКА, СОЦИАЛЬНАЯ БЛАГОТВОРИТЕЛЬНОСТЬ</t>
  </si>
  <si>
    <t>Столбов В.П.</t>
  </si>
  <si>
    <t>978-5-16-018695-5</t>
  </si>
  <si>
    <t>38.04.01, 38.06.01, 46.04.01</t>
  </si>
  <si>
    <t>700866.02.01</t>
  </si>
  <si>
    <t>Стилевые проявления при обуч. в усл. информ и цифровизации..: Моногр./Г.А.Никулова-М.:НИЦ ИНФРА-М,2023-173с (П)</t>
  </si>
  <si>
    <t>СТИЛЕВЫЕ ПРОЯВЛЕНИЯ ПРИ ОБУЧЕНИИ  В УСЛОВИЯХ ИНФОРМАТИЗАЦИИ И ЦИФРОВИЗАЦИИ ОБРАЗОВАНИЯ</t>
  </si>
  <si>
    <t>Никулова Г.А., Боброва Л.Н.</t>
  </si>
  <si>
    <t>978-5-16-014837-3</t>
  </si>
  <si>
    <t>44.03.01, 44.03.05, 44.04.01, 44.04.04</t>
  </si>
  <si>
    <t>776813.01.01</t>
  </si>
  <si>
    <t>Стихотворение-каталог в немецкоязычной поэзии: Моногр. / Т.Н.Андреюшкина-М.:НИЦ ИНФРА-М,2022.-144 с.(О)</t>
  </si>
  <si>
    <t>СТИХОТВОРЕНИЕ-КАТАЛОГ В НЕМЕЦКОЯЗЫЧНОЙ ПОЭЗИИ XX ВЕКА</t>
  </si>
  <si>
    <t>Андреюшкина Т.Н.</t>
  </si>
  <si>
    <t>978-5-16-017703-8</t>
  </si>
  <si>
    <t>45.03.01, 45.06.01</t>
  </si>
  <si>
    <t>Тольяттинский государственный университет</t>
  </si>
  <si>
    <t>694769.04.01</t>
  </si>
  <si>
    <t>Стихотворный текст: междисциплин. интерпр.: Моногр. / Л.Н.Синельникова -М:НИЦ ИНФРА-М,2024-267с(о)</t>
  </si>
  <si>
    <t>СТИХОТВОРНЫЙ ТЕКСТ: МЕЖДИСЦИПЛИНАРНАЯ ИНТЕРПРЕТАЦИЯ</t>
  </si>
  <si>
    <t>Синельникова Л.Н.</t>
  </si>
  <si>
    <t>978-5-16-018909-3</t>
  </si>
  <si>
    <t>45.03.01, 45.03.02, 45.04.01, 45.04.02</t>
  </si>
  <si>
    <t>813937.02.01</t>
  </si>
  <si>
    <t>Сто знаменитых дефектологов: биографиче. сл. / Т.А.Соловьева. - М.:НИЦ ИНФРА-М,2025. - 292 с [12+](п)</t>
  </si>
  <si>
    <t>СТО ЗНАМЕНИТЫХ ДЕФЕКТОЛОГОВ</t>
  </si>
  <si>
    <t>Соловьева Т.А., Коробейников И.А., Тимофеев М.А. и др.</t>
  </si>
  <si>
    <t>978-5-16-019320-5</t>
  </si>
  <si>
    <t>Биографический словарь</t>
  </si>
  <si>
    <t>208400.11.01</t>
  </si>
  <si>
    <t>Страна своя и чужая: идея патриотизма.: Моногр. / С.Г.Воркачев - М.:НИЦ ИНФРА-М,2025 - 151 с.(Науч.мысль)(о)</t>
  </si>
  <si>
    <t>СТРАНА СВОЯ И ЧУЖАЯ: ИДЕЯ ПАТРИОТИЗМА В ЛИНГВОКУЛЬТУРЕ</t>
  </si>
  <si>
    <t>Воркачев С. Г.</t>
  </si>
  <si>
    <t>978-5-16-006811-4</t>
  </si>
  <si>
    <t>45.03.02, 45.03.03, 45.04.02</t>
  </si>
  <si>
    <t>Кубанский государственный технологический университет</t>
  </si>
  <si>
    <t>159900.11.01</t>
  </si>
  <si>
    <t>Стратегический менеджмент: понятия, концепции...: Справ. пос. / В.Д.Маркова - М.: ИНФРА-М,2025-320с(о)</t>
  </si>
  <si>
    <t>СТРАТЕГИЧЕСКИЙ МЕНЕДЖМЕНТ: ПОНЯТИЯ, КОНЦЕПЦИИ, ИНСТРУМЕНТЫ ПРИНЯТИЯ РЕШЕНИЙ</t>
  </si>
  <si>
    <t>Маркова В. Д., Кузнецова С. А.</t>
  </si>
  <si>
    <t>978-5-16-009860-9</t>
  </si>
  <si>
    <t>38.03.02, 38.03.04, 38.04.02, 38.04.04, 38.04.08, 41.03.06, 44.03.05</t>
  </si>
  <si>
    <t>656418.04.01</t>
  </si>
  <si>
    <t>Стратегия национальной безопасности РФ - 2 изд. - М.:НИЦ ИНФРА-М,2020 - 84 с.(О)</t>
  </si>
  <si>
    <t>СТРАТЕГИЯ НАЦИОНАЛЬНОЙ БЕЗОПАСНОСТИ РОССИЙСКОЙ ФЕДЕРАЦИИ, ИЗД.2</t>
  </si>
  <si>
    <t>978-5-16-012784-2</t>
  </si>
  <si>
    <t>38.03.01, 38.03.04, 38.04.01, 38.04.04, 38.05.01, 41.03.04, 41.03.05, 41.04.04, 41.04.05</t>
  </si>
  <si>
    <t>656418.03.01</t>
  </si>
  <si>
    <t>Стратегия национальной безопасности РФ - М.:НИЦ ИНФРА-М,2019 - 40 с.(О)</t>
  </si>
  <si>
    <t>СТРАТЕГИЯ НАЦИОНАЛЬНОЙ БЕЗОПАСНОСТИ РОССИЙСКОЙ ФЕДЕРАЦИИ</t>
  </si>
  <si>
    <t>656418.11.01</t>
  </si>
  <si>
    <t>Стратегия национальной безопасности РФ /  - 3 изд., доп. - М.:НИЦ ИНФРА-М,2024. - 101 с.(О)</t>
  </si>
  <si>
    <t>СТРАТЕГИЯ НАЦИОНАЛЬНОЙ БЕЗОПАСНОСТИ РОССИЙСКОЙ ФЕДЕРАЦИИ, ИЗД.3</t>
  </si>
  <si>
    <t>978-5-16-016495-3</t>
  </si>
  <si>
    <t>656418.14.01</t>
  </si>
  <si>
    <t>Стратегия национальной безопасности РФ. - 4 изд., доп. - М.:НИЦ ИНФРА-М,2026. - 101 с.(О)</t>
  </si>
  <si>
    <t>СТРАТЕГИЯ НАЦИОНАЛЬНОЙ БЕЗОПАСНОСТИ РОССИЙСКОЙ ФЕДЕРАЦИИ, ИЗД.4</t>
  </si>
  <si>
    <t>978-5-16-019752-4</t>
  </si>
  <si>
    <t>0424</t>
  </si>
  <si>
    <t>794802.01.01</t>
  </si>
  <si>
    <t>Стратегия развития инфраструктуры массового спорта в России.../ А.В.Аверин-М.:НИЦ ИНФРА-М,2024.-215 с.(О)</t>
  </si>
  <si>
    <t>СТРАТЕГИЯ РАЗВИТИЯ ИНФРАСТРУКТУРЫ МАССОВОГО СПОРТА В РОССИИ НА ФЕДЕРАЛЬНОМ УРОВНЕ</t>
  </si>
  <si>
    <t>Аверин А.В., Алеева Г.И., Андреев Н.В. и др.</t>
  </si>
  <si>
    <t>978-5-16-018307-7</t>
  </si>
  <si>
    <t>38.04.01, 38.04.02, 38.04.04, 38.06.01, 43.04.01, 49.04.03, 49.06.01</t>
  </si>
  <si>
    <t>803692.08.01</t>
  </si>
  <si>
    <t>Строевой устав Вооруженных Сил РФ - М.:НИЦ ИНФРА-М,2026. - 101 с.(о)</t>
  </si>
  <si>
    <t>СТРОЕВОЙ УСТАВ ВООРУЖЕННЫХ СИЛ РОССИЙСКОЙ ФЕДЕРАЦИИ</t>
  </si>
  <si>
    <t>978-5-16-018485-2</t>
  </si>
  <si>
    <t>432559.0028.01</t>
  </si>
  <si>
    <t>Строительство и архитектура, 2020, том 8, № 4 (29)</t>
  </si>
  <si>
    <t>СТРОИТЕЛЬСТВО И АРХИТЕКТУРА, 2020, ТОМ 8, № 4 (29)</t>
  </si>
  <si>
    <t>08.03.01, 08.04.01, 08.05.01, 08.05.02, 08.05.03, 08.06.01</t>
  </si>
  <si>
    <t>699204.05.01</t>
  </si>
  <si>
    <t>Студенты России: жизненные приоритеты...: Моногр. / С.Д.Резник -  2 изд. - М.:НИЦ ИНФРА-М,2024-242с(О)</t>
  </si>
  <si>
    <t>СТУДЕНТЫ РОССИИ: ЖИЗНЕННЫЕ ПРИОРИТЕТЫ И СОЦИАЛЬНАЯ УСТОЙЧИВОСТЬ, ИЗД.2</t>
  </si>
  <si>
    <t>Резник С.Д., Черниковская М.В.</t>
  </si>
  <si>
    <t>978-5-16-014743-7</t>
  </si>
  <si>
    <t>39.03.03, 39.04.03</t>
  </si>
  <si>
    <t>781791.01.01</t>
  </si>
  <si>
    <t>Судебная баллистика: рус.-англ. и англ.-рус. сл.: Словарь / А.В.Кокин-М.:НИЦ ИНФРА-М,2024.-486 с.(п)</t>
  </si>
  <si>
    <t>СУДЕБНАЯ БАЛЛИСТИКА: РУССКО-АНГЛИЙСКИЙ И АНГЛО-РУССКИЙ СЛОВАРЬ</t>
  </si>
  <si>
    <t>Кокин А.В.</t>
  </si>
  <si>
    <t>978-5-16-017798-4</t>
  </si>
  <si>
    <t>40.03.01, 40.04.01, 40.05.03</t>
  </si>
  <si>
    <t>Московский университет Министерства внутренних дел Российской Федерации им. В.Я. Кикотя</t>
  </si>
  <si>
    <t>068450.11.01</t>
  </si>
  <si>
    <t>Судебно-мед. экспертиза. Термины..: Сл. / И.В.Буромский - М.:Юр.Норма, НИЦ ИНФРА-М,2023 - 256 с(О)</t>
  </si>
  <si>
    <t>СУДЕБНО-МЕДИЦИНСКАЯ ЭКСПЕРТИЗА. ТЕРМИНЫ И ПОНЯТИЯ</t>
  </si>
  <si>
    <t>Буромский И.В., Клевно В.А., Пашинян Г.А.</t>
  </si>
  <si>
    <t>Словари для юристов-профессионалов</t>
  </si>
  <si>
    <t>978-5-91768-249-5</t>
  </si>
  <si>
    <t>31.05.01, 31.05.02, 31.05.03, 32.05.01, 33.05.01, 34.03.01, 40.03.01, 40.04.01</t>
  </si>
  <si>
    <t>Российский национальный исследовательский медицинский университет им. Н.И. Пирогова</t>
  </si>
  <si>
    <t>0106</t>
  </si>
  <si>
    <t>275600.05.01</t>
  </si>
  <si>
    <t>Судейское сообщество в России и других гос. СНГ / М.И.Клеандров-М:Юр.Норма, НИЦ ИНФРА-М,2019-256с(П)</t>
  </si>
  <si>
    <t>СУДЕЙСКОЕ СООБЩЕСТВО В РОССИИ И ДРУГИХ ГОСУДАРСТВАХ СНГ</t>
  </si>
  <si>
    <t>Клеандров М. И., Краснов Д. А.</t>
  </si>
  <si>
    <t>978-5-91768-488-8</t>
  </si>
  <si>
    <t>221600.05.01</t>
  </si>
  <si>
    <t>Судьба французского языка в Африке..: Моногр./ Ж.Багана - М.: НИЦ ИНФРА-М, 2023-150с.(Научная мысль) (о)</t>
  </si>
  <si>
    <t>СУДЬБА ФРАНЦУЗСКОГО ЯЗЫКА В АФРИКЕ: СОЦИОЛИНГВИСТИЧЕСКИЕ И ЛИНГВОКУЛЬТУРОЛОГИЧЕСКИЕ ОСОБЕННОСТИ</t>
  </si>
  <si>
    <t>Багана Ж., Лангнер А. Н.</t>
  </si>
  <si>
    <t>978-5-16-008974-4</t>
  </si>
  <si>
    <t>670745.06.01</t>
  </si>
  <si>
    <t>Сюжетная типология рус. лит. XI-XX в.: Моногр. / В.К.Васильев - М.:НИЦ ИНФРА-М,2025 - 259 с.(П)</t>
  </si>
  <si>
    <t>СЮЖЕТНАЯ ТИПОЛОГИЯ РУССКОЙ ЛИТЕРАТУРЫ XI-XX ВЕКОВ (АРХЕТИПЫ РУССКОЙ КУЛЬТУРЫ). ОТ СРЕДНЕВЕКОВЬЯ К НОВОМУ ВРЕМЕНИ</t>
  </si>
  <si>
    <t>Васильев В.К.</t>
  </si>
  <si>
    <t>978-5-16-017631-4</t>
  </si>
  <si>
    <t>696565.03.01</t>
  </si>
  <si>
    <t>Творческое наследие К.Маркса и соврем. философия: Моногр. / С.А.Нижников - М.:НИЦ ИНФРА-М,2022 - 199 с(О)</t>
  </si>
  <si>
    <t>ТВОРЧЕСКОЕ НАСЛЕДИЕ К. МАРКСА И СОВРЕМЕННАЯ ФИЛОСОФИЯ</t>
  </si>
  <si>
    <t>Нижников С.А., Лагунов А.А., Гобозов И.А. и др.</t>
  </si>
  <si>
    <t>Научная мысль - 100 лет ФУ</t>
  </si>
  <si>
    <t>978-5-16-016393-2</t>
  </si>
  <si>
    <t>842847.01.01</t>
  </si>
  <si>
    <t>Творческое начало в разговорной речи...: Моногр. / В.К.Харченко - М.:НИЦ ИНФРА-М,2025. - 192 с.(Науч.мысль)(о)</t>
  </si>
  <si>
    <t>ТВОРЧЕСКОЕ НАЧАЛО В РАЗГОВОРНОЙ РЕЧИ: РЕДКИЕ ПРИЁМЫ, МАЛОИЗУЧЕННЫЕ ФАКТЫ</t>
  </si>
  <si>
    <t>978-5-16-020447-5</t>
  </si>
  <si>
    <t>678270.05.01</t>
  </si>
  <si>
    <t>Театр героев А.П.Чехова: Моногр. / К.В.Борисова - М.:НИЦ ИНФРА-М,2023 - 112 с.(Науч.мысль)(О)</t>
  </si>
  <si>
    <t>ТЕАТР ГЕРОЕВ А.П.ЧЕХОВА</t>
  </si>
  <si>
    <t>Борисова К.В.</t>
  </si>
  <si>
    <t>978-5-16-013647-9</t>
  </si>
  <si>
    <t>41.03.06, 42.03.02, 42.03.03, 42.03.04, 44.03.05, 45.03.01</t>
  </si>
  <si>
    <t>664278.01.01</t>
  </si>
  <si>
    <t>Текст и коммуникация (филос. размыш.).: Моногр. / Л.Т.Рыскельдиева-М.:Вуз.уч.,НИЦ ИНФРА-М,2018-179с</t>
  </si>
  <si>
    <t>ТЕКСТ И КОММУНИКАЦИЯ (ФИЛОСОФСКИЕ РАЗМЫШЛЕНИЯ).</t>
  </si>
  <si>
    <t>Рыскельдиева Л.Т., Коротченко Ю.М., Шапиро О.А. и др.</t>
  </si>
  <si>
    <t>Научная книга (КФУ)</t>
  </si>
  <si>
    <t>978-5-9558-0589-4</t>
  </si>
  <si>
    <t>773011.02.01</t>
  </si>
  <si>
    <t>Текстильные материалы: Терминологический сл.-справ. / А.В.Куличенко - М.:НИЦ ИНФРА-М,2025. - 176 с.(п)</t>
  </si>
  <si>
    <t>ТЕКСТИЛЬНЫЕ МАТЕРИАЛЫ</t>
  </si>
  <si>
    <t>Куличенко А.В.</t>
  </si>
  <si>
    <t>978-5-16-017830-1</t>
  </si>
  <si>
    <t>29.03.01, 29.03.05, 29.04.01, 29.04.02, 29.04.05</t>
  </si>
  <si>
    <t>Санкт-Петербургский государственный университет промышленных технологий и дизайна</t>
  </si>
  <si>
    <t>741580.03.01</t>
  </si>
  <si>
    <t>Тематический коммент. к Закону РФ О ПОПРАВКЕ К КОНСТИТУЦИИ.... / Т.Я.Хабриeва — М.: Норма : ИНФРА-М, 2022-240с(П)</t>
  </si>
  <si>
    <t>ТЕМАТИЧЕСКИЙ КОММЕНТАРИЙ К ЗАКОНУ РОССИЙСКОЙ ФЕДЕРАЦИИ О ПОПРАВКЕ К КОНСТИТУЦИИ РОССИЙСКОЙ ФЕДЕРАЦИИ ОТ 14 МАРТА 2020 Г. № 1-ФКЗ</t>
  </si>
  <si>
    <t>Хабриева Т.Я., Клишас А.А.</t>
  </si>
  <si>
    <t>978-5-00156-090-6</t>
  </si>
  <si>
    <t>670056.03.01</t>
  </si>
  <si>
    <t>Теоретическая строгость как соотв.сист.и метода.:Моногр. / Е.В.Карелина-М.:НИЦ ИНФРА-М,СФУ,2023-119с</t>
  </si>
  <si>
    <t>ТЕОРЕТИЧЕСКАЯ СТРОГОСТЬ КАК СООТВЕТСТВИЕ СИСТЕМЫ И МЕТОДА В ФИЛОСОФИИ</t>
  </si>
  <si>
    <t>Карелина Е.В.</t>
  </si>
  <si>
    <t>978-5-16-013360-7</t>
  </si>
  <si>
    <t>398300.07.01</t>
  </si>
  <si>
    <t>Теоретические и соц. основы техносферы: Моногр./ А.Д.Иоселиани-М:НИЦ ИНФРА-М,2024-395(Науч.мысль)(П)</t>
  </si>
  <si>
    <t>ТЕОРЕТИЧЕСКИЕ И СОЦИАЛЬНЫЕ ОСНОВЫ ТЕХНОСФЕРЫ</t>
  </si>
  <si>
    <t>Иоселиани А.Д.</t>
  </si>
  <si>
    <t>978-5-16-011276-3</t>
  </si>
  <si>
    <t>20.03.01, 20.04.01, 40.03.01, 44.03.01, 44.03.05, 47.03.01, 47.04.01</t>
  </si>
  <si>
    <t>730055.01.01</t>
  </si>
  <si>
    <t>Теория возможного: Монография / С.В.Борзых - М.:НИЦ ИНФРА-М,2021 - 180 с.-(Науч.мысль)(О)</t>
  </si>
  <si>
    <t>ТЕОРИЯ ВОЗМОЖНОГО</t>
  </si>
  <si>
    <t>978-5-16-015992-8</t>
  </si>
  <si>
    <t>005504.23.01</t>
  </si>
  <si>
    <t>Теория государства и права: Курс лекций / Н.И.Матузов - 3 изд. - М.:Юр.Норма,НИЦ ИНФРА-М,2026 - 640 с.(п)</t>
  </si>
  <si>
    <t>ТЕОРИЯ ГОСУДАРСТВА И ПРАВА, ИЗД.3</t>
  </si>
  <si>
    <t>Матузов Н. И., Воротников А. А., Кулапов В. Л., Матузов Н. И., Малько А. В.</t>
  </si>
  <si>
    <t>978-5-91768-271-6</t>
  </si>
  <si>
    <t>40.03.01, 40.05.01, 40.05.02, 40.05.03, 40.05.04, 41.03.01, 41.03.06, 44.03.05</t>
  </si>
  <si>
    <t>Рекомендовано УМО по юридическому образованию высших учебных заведений в качестве учебника для студентов вузов, обучающихся по специальности и направлению подготовки "Юриспруденция"</t>
  </si>
  <si>
    <t>Саратовская государственная юридическая академия</t>
  </si>
  <si>
    <t>0312</t>
  </si>
  <si>
    <t>740304.02.01</t>
  </si>
  <si>
    <t>Теория и практика персонифицированного обучения: Моногр. / С.В.Кондратьев-М.:НИЦ ИНФРА-М,2021.-273 с.(О)</t>
  </si>
  <si>
    <t>ТЕОРИЯ И ПРАКТИКА ПЕРСОНИФИЦИРОВАННОГО ОБУЧЕНИЯ</t>
  </si>
  <si>
    <t>Кондратьев С.В.</t>
  </si>
  <si>
    <t>978-5-16-016331-4</t>
  </si>
  <si>
    <t>632248.06.01</t>
  </si>
  <si>
    <t>Теория и практика развития проф..: Моногр. / С.Н.Козловская, - 2 изд.-М.:НИЦ ИНФРА-М,2023.-145с.(О)</t>
  </si>
  <si>
    <t>ТЕОРИЯ И ПРАКТИКА РАЗВИТИЯ ПРОФЕССИОНАЛЬНОГО САМООПРЕДЕЛЕНИЯ СТУДЕНТОВ, ИЗД.2</t>
  </si>
  <si>
    <t>Козловская С.Н.</t>
  </si>
  <si>
    <t>978-5-16-011977-9</t>
  </si>
  <si>
    <t>44.03.01, 44.04.01, 44.04.04, 44.06.01</t>
  </si>
  <si>
    <t>Российский государственный социальный университет</t>
  </si>
  <si>
    <t>640190.06.01</t>
  </si>
  <si>
    <t>Теория организации и организ.деят.: моногр.тезаур.: Сл./ Л.А.Жигун- 2 изд.-М.:НИЦ ИНФРА-М,2023-240с.(п)</t>
  </si>
  <si>
    <t>ТЕОРИЯ ОРГАНИЗАЦИИ И ОРГАНИЗАЦИОННАЯ ДЕЯТЕЛЬНОСТЬ: МОНОГРАФИЯ ТЕЗАУРУСА, ИЗД.2</t>
  </si>
  <si>
    <t>Жигун Л.А.</t>
  </si>
  <si>
    <t>978-5-16-012625-8</t>
  </si>
  <si>
    <t>38.03.02, 38.03.04, 38.03.05, 38.03.06, 38.04.02, 38.04.03, 38.04.09, 38.05.01, 41.03.06</t>
  </si>
  <si>
    <t>177850.08.01</t>
  </si>
  <si>
    <t>Теория организации: Словарь / Л.А.Жигун-М.:НИЦ ИНФРА-М,2024.-116 с.(Б-ка малых сл."ИНФРА-М")(О)(О) [12+]</t>
  </si>
  <si>
    <t>ТЕОРИЯ ОРГАНИЗАЦИИ</t>
  </si>
  <si>
    <t>Жигун Л. А.</t>
  </si>
  <si>
    <t>978-5-16-005242-7</t>
  </si>
  <si>
    <t>35.02.12, 38.03.02, 38.04.02, 38.04.08, 41.03.06, 44.03.05</t>
  </si>
  <si>
    <t>735735.01.01</t>
  </si>
  <si>
    <t>Теория разума: Монография / С.В.Борзых - М.:НИЦ ИНФРА-М,2021 - 228 с.-(Науч.мысль)(О)</t>
  </si>
  <si>
    <t>ТЕОРИЯ РАЗУМА</t>
  </si>
  <si>
    <t>978-5-16-016232-4</t>
  </si>
  <si>
    <t>822817.01.01</t>
  </si>
  <si>
    <t>Теория транспозиционной грамматики рус. яз. / В.В.Шигуров - М.:НИЦ ИНФРА-М,2025. - 1063 с.(п)</t>
  </si>
  <si>
    <t>ТЕОРИЯ ТРАНСПОЗИЦИОННОЙ ГРАММАТИКИ РУССКОГО ЯЗЫКА:</t>
  </si>
  <si>
    <t>Шигуров В.В.</t>
  </si>
  <si>
    <t>978-5-16-020847-3</t>
  </si>
  <si>
    <t>744297.01.01</t>
  </si>
  <si>
    <t>Тепловизионная скрининг-диагностика. Болезни молочной железы. Атлас термограмм: атлас / И.М.Долгов и др.-М.:НИЦ ИНФРА-М,2020.-150 с.(П)</t>
  </si>
  <si>
    <t>ТЕПЛОВИЗИОННАЯ СКРИНИНГ-ДИАГНОСТИКА. БОЛЕЗНИ МОЛОЧНОЙ ЖЕЛЕЗЫ</t>
  </si>
  <si>
    <t>Долгов И.М., Воловик М.Г., Муравина Н.Л.</t>
  </si>
  <si>
    <t>978-5-16-016491-5</t>
  </si>
  <si>
    <t>Атлас</t>
  </si>
  <si>
    <t>31.05.01, 31.05.02, 31.08.01, 32.05.01</t>
  </si>
  <si>
    <t>Приволжский исследовательский медицинский университет</t>
  </si>
  <si>
    <t>744299.01.01</t>
  </si>
  <si>
    <t>Тепловизионная скрининг-диагностика. Болезни системы кровообращения. Варикозное расширение вен. Атлас термограмм -М.:НИЦ ИНФРА-М,2020.-91 с.(П)</t>
  </si>
  <si>
    <t>ТЕПЛОВИЗИОННАЯ СКРИНИНГ-ДИАГНОСТИКА. БОЛЕЗНИ СИСТЕМЫ КРОВООБРАЩЕНИЯ. ВАРИКОЗНОЕ РАСШИРЕНИЕ ВЕН НИЖНИХ КОНЕЧНОСТЕЙ. ФЛЕБИТ. ТРОМБОФЛЕБИТ</t>
  </si>
  <si>
    <t>Воловик М.Г., Долгов И.М., Муравина Н.Л.</t>
  </si>
  <si>
    <t>978-5-16-016492-2</t>
  </si>
  <si>
    <t>31.02.01, 31.05.01, 31.05.02, 31.06.01, 31.07.01, 31.08.01, 31.08.05, 32.04.01, 32.05.01</t>
  </si>
  <si>
    <t>744298.01.01</t>
  </si>
  <si>
    <t>Тепловизионная скрининг-диагностика. Болезни щитовидной железы. Атлас термограмм: атлас / И.М.Долгов-М.:НИЦ ИНФРА-М,2020.-51 с.(П)</t>
  </si>
  <si>
    <t>ТЕПЛОВИЗИОННАЯ СКРИНИНГ-ДИАГНОСТИКА. БОЛЕЗНИ ЩИТОВИДНОЙ ЖЕЛЕЗЫ</t>
  </si>
  <si>
    <t>Долгов И.М., Воловик М.Г.</t>
  </si>
  <si>
    <t>978-5-16-016490-8</t>
  </si>
  <si>
    <t>31.05.01, 31.05.02, 31.08.53, 32.04.01, 32.05.01</t>
  </si>
  <si>
    <t>429850.07.01</t>
  </si>
  <si>
    <t>Терминологический словарь-справочник по палеонтологии / Б.Т.Янин - 2изд.-М.:НИЦ ИНФРА-М,2023-172с(п)</t>
  </si>
  <si>
    <t>ТЕРМИНОЛОГИЧЕСКИЙ СЛОВАРЬ-СПРАВОЧНИК ПО ПАЛЕОНТОЛОГИИ (ПАЛЕОИХНОЛОГИЯ, ПАЛЕОЭКОЛОГИЯ, ТАФОНОМИЯ), ИЗД.2</t>
  </si>
  <si>
    <t>Янин Б.Т.</t>
  </si>
  <si>
    <t>978-5-16-006644-8</t>
  </si>
  <si>
    <t>05.03.01, 05.03.06, 05.04.01, 05.04.06, 06.03.01, 06.04.01</t>
  </si>
  <si>
    <t>Московский государственный университет им. М.В. Ломоносова, Геологический факультет</t>
  </si>
  <si>
    <t>637262.04.01</t>
  </si>
  <si>
    <t>Терминология Investor Relations в рус. и англ.яз.: Моногр. / Т.А.Сарангова - М.:НИЦ ИНФРА-М,2025 - 126 с.(О)</t>
  </si>
  <si>
    <t>ТЕРМИНОЛОГИЯ INVESTOR RELATIONS В РУССКОМ И АНГЛИЙСКОМ ЯЗЫКАХ</t>
  </si>
  <si>
    <t>Сарангова Т.А.</t>
  </si>
  <si>
    <t>978-5-16-012202-1</t>
  </si>
  <si>
    <t>38.04.01, 38.04.02, 45.03.02, 45.04.02, 45.05.01</t>
  </si>
  <si>
    <t>183150.04.01</t>
  </si>
  <si>
    <t>Терминообразование в языке науки: Моногр. / Ж.Багана-М.:НИЦ ИНФРА-М,2020-144с-(Научная мысль)(О)</t>
  </si>
  <si>
    <t>ТЕРМИНООБРАЗОВАНИЕ В ЯЗЫКЕ НАУКИ</t>
  </si>
  <si>
    <t>Багана Ж., Таранова Е.Н.</t>
  </si>
  <si>
    <t>978-5-16-009762-6</t>
  </si>
  <si>
    <t>45.03.01, 45.04.01, 45.04.02</t>
  </si>
  <si>
    <t>157750.08.01</t>
  </si>
  <si>
    <t>Технологии мобильной связи: услуги и сервисы / А.Г.Бельтов - М:ИНФРА-М,2024-206с(Просто,кратко,быстро)</t>
  </si>
  <si>
    <t>ТЕХНОЛОГИИ МОБИЛЬНОЙ СВЯЗИ: УСЛУГИ И СЕРВИСЫ</t>
  </si>
  <si>
    <t>Бельтов А. Г., Жуков И. Ю., Михайлов Д. М., Стариковский А. В.</t>
  </si>
  <si>
    <t>978-5-16-004889-5</t>
  </si>
  <si>
    <t>Автоматика. Радиоэлектроника. Связь</t>
  </si>
  <si>
    <t>10.03.01, 10.04.01, 11.03.02, 11.04.02</t>
  </si>
  <si>
    <t>Центральный научно-исследовательский институт экономики, информатики и систем управления</t>
  </si>
  <si>
    <t>689961.01.01</t>
  </si>
  <si>
    <t>Технология и техника бурения: Уч.пос.: В 2 ч. (комп.) / В.С.Войтенко -М.:НИЦ ИНФРА-М,2019-850с(П)</t>
  </si>
  <si>
    <t>ТЕХНОЛОГИЯ И ТЕХНИКА БУРЕНИЯ</t>
  </si>
  <si>
    <t>Войтенко В.С., Смычкин А.Д., Тухто А.А. и др.</t>
  </si>
  <si>
    <t>Комплект</t>
  </si>
  <si>
    <t>731128.05.01</t>
  </si>
  <si>
    <t>Технология педагогического целеполагания: Моногр. / Я.С.Турбовской - М.:НИЦ ИНФРА-М,2026 - 174 с.(О)</t>
  </si>
  <si>
    <t>ТЕХНОЛОГИЯ ПЕДАГОГИЧЕСКОГО ЦЕЛЕПОЛАГАНИЯ</t>
  </si>
  <si>
    <t>Турбовской Я.С., Филинова В.С.</t>
  </si>
  <si>
    <t>978-5-16-016018-4</t>
  </si>
  <si>
    <t>44.04.01, 44.04.04</t>
  </si>
  <si>
    <t>425750.10.01</t>
  </si>
  <si>
    <t>Типические характеры в произведениях А.С. Пушкина: Моногр. / С.Ю.Поройков - М.:НИЦ ИНФРА-М,2025 - 184 с.(о)</t>
  </si>
  <si>
    <t>ТИПИЧЕСКИЕ ХАРАКТЕРЫ В ПРОИЗВЕДЕНИЯХ А.С. ПУШКИНА</t>
  </si>
  <si>
    <t>978-5-16-006596-0</t>
  </si>
  <si>
    <t>794951.01.01</t>
  </si>
  <si>
    <t>Традиция авторской маски в рус. прозе XVIII-XIX вв: Моногр. / О.Ю.Осьмухина-М.:НИЦ ИНФРА-М,2023-379с.(П)</t>
  </si>
  <si>
    <t>ТРАДИЦИЯ АВТОРСКОЙ МАСКИ В РУССКОЙ ПРОЗЕ XVIII-XIX ВЕКОВ</t>
  </si>
  <si>
    <t>Осьмухина О.Ю.</t>
  </si>
  <si>
    <t>978-5-16-018100-4</t>
  </si>
  <si>
    <t>44.04.01, 44.06.01, 44.07.01, 45.04.01, 45.06.01, 45.07.01, 52.05.04, 52.09.08</t>
  </si>
  <si>
    <t>158150.11.01</t>
  </si>
  <si>
    <t>Три главные проблемы подростка с девиантным повед... / В.К.Зарецкий. - М.:Форум,2025. - 205 с.(О)</t>
  </si>
  <si>
    <t>ТРИ ГЛАВНЫЕ ПРОБЛЕМЫ ПОДРОСТКА С ДЕВИАНТНЫМ ПОВЕДЕНИЕМ. ПОЧЕМУ ВОЗНИКАЮТ? КАК ПОМОЧЬ?</t>
  </si>
  <si>
    <t>Зарецкий В. К., Смирнова Н. С., Зарецкий Ю. В., Евлашкина Н. М.</t>
  </si>
  <si>
    <t>978-5-91134-547-1</t>
  </si>
  <si>
    <t>31.05.02, 37.03.01, 44.03.01, 44.03.05</t>
  </si>
  <si>
    <t>666543.09.01</t>
  </si>
  <si>
    <t>Триатлон: теория и практика тренировки: Моногр. / Данилова Е.Н. - М.:НИЦ ИНФРА-М, СФУ,2024-242 с.(П)</t>
  </si>
  <si>
    <t>ТРИАТЛОН: ТЕОРИЯ И ПРАКТИКА ТРЕНИРОВКИ</t>
  </si>
  <si>
    <t>Данилова Е.Н., Христофоров А.Н., Вериго Л.И. и др.</t>
  </si>
  <si>
    <t>978-5-16-016124-2</t>
  </si>
  <si>
    <t>49.03.01, 49.04.01, 49.04.03, 49.06.01</t>
  </si>
  <si>
    <t>704205.03.01</t>
  </si>
  <si>
    <t>Труд как творчество: мозаика наблюд., цитат, выводов: Моногр. / В.К.Харченко - М.:НИЦ ИНФРА-М,2025 - 155 с.(о)</t>
  </si>
  <si>
    <t>ТРУД КАК ТВОРЧЕСТВО: МОЗАИКА НАБЛЮДЕНИЙ, ЦИТАТ, ВЫВОДОВ</t>
  </si>
  <si>
    <t>978-5-16-014938-7</t>
  </si>
  <si>
    <t>654593.06.01</t>
  </si>
  <si>
    <t>Туризм: Словарь / Под ред. Морозова М.А.- М.:НИЦ ИНФРА-М,2024 - 300 с.(Б-ка сл. ИНФРА-М)(П)</t>
  </si>
  <si>
    <t>ТУРИЗМ</t>
  </si>
  <si>
    <t>Морозов М.А., Морозова Н.С., Фролов А.И. и др.</t>
  </si>
  <si>
    <t>978-5-16-014476-4</t>
  </si>
  <si>
    <t>43.00.00, 43.02.16, 43.03.02, 43.04.01, 43.04.02, 43.04.03, 49.03.03</t>
  </si>
  <si>
    <t>641718.08.01</t>
  </si>
  <si>
    <t>Тьютор и воспитанник...: Моногр. / Под ред. Сластенина В.А. - 2 изд. - М.:НИЦ ИНФРА-М,2025 - 72с.(О)</t>
  </si>
  <si>
    <t>ТЬЮТОР И ВОСПИТАННИК: ПЕДАГОГИЧЕСКОЕ ВЗАИМОДЕЙСТВИЕ СИСТЕМ ЦЕННОСТЕЙ, ИЗД.2</t>
  </si>
  <si>
    <t>Яковлев С.В., Сластенин В.А.</t>
  </si>
  <si>
    <t>978-5-16-012356-1</t>
  </si>
  <si>
    <t>44.02.02, 44.02.03, 44.03.01, 44.03.05, 44.04.01</t>
  </si>
  <si>
    <t>649111.01.01</t>
  </si>
  <si>
    <t>Уголовное судопроизводство: Сл. / Под ред. Смолькова И.В.-М.:НИЦ ИНФРА-М,2024.-217 с..-(п)</t>
  </si>
  <si>
    <t>УГОЛОВНОЕ СУДОПРОИЗВОДСТВО</t>
  </si>
  <si>
    <t>Буфетова М.Ш., Дунаева М.С., Зеленская Т.В. и др.</t>
  </si>
  <si>
    <t>978-5-16-018265-0</t>
  </si>
  <si>
    <t>10.05.04, 38.05.01, 38.05.02, 40.02.02, 40.02.04, 40.03.01, 40.04.01, 40.05.01, 40.05.02, 40.05.03, 40.05.04, 40.06.01</t>
  </si>
  <si>
    <t>Байкальский государственный университет</t>
  </si>
  <si>
    <t>808966.01.01</t>
  </si>
  <si>
    <t>УК РФ - М.:НИЦ ИНФРА-М,2025. - 396 с.(п)</t>
  </si>
  <si>
    <t>УГОЛОВНЫЙ КОДЕКС РОССИЙСКОЙ ФЕДЕРАЦИИ</t>
  </si>
  <si>
    <t>978-5-16-018821-8</t>
  </si>
  <si>
    <t>10.05.04, 37.05.02, 38.04.01, 38.05.01, 38.05.02, 40.02.02, 40.02.04, 40.03.01, 40.05.01, 40.05.02, 40.05.03, 40.05.04, 44.03.05</t>
  </si>
  <si>
    <t>766676.01.01</t>
  </si>
  <si>
    <t>Универсальность уникальности: Моногр. / С.В.Борзых - М.:НИЦ ИНФРА-М,2022 - 224 с.(Науч.мысль)(О)</t>
  </si>
  <si>
    <t>УНИВЕРСАЛЬНОСТЬ УНИКАЛЬНОСТИ</t>
  </si>
  <si>
    <t>978-5-16-017287-3</t>
  </si>
  <si>
    <t>838931.01.01</t>
  </si>
  <si>
    <t>Университетская культура: Моногр. / Л.О.Терновая - М.:НИЦ ИНФРА-М,2025. -  218 с.(Науч.мысль)(п)</t>
  </si>
  <si>
    <t>УНИВЕРСИТЕТСКАЯ КУЛЬТУРА</t>
  </si>
  <si>
    <t>978-5-16-020272-3</t>
  </si>
  <si>
    <t>44.04.02, 51.03.01</t>
  </si>
  <si>
    <t>863776.01.01</t>
  </si>
  <si>
    <t>УПК РФ - М.:НИЦ ИНФРА-М,2025. - 415 с.(п)</t>
  </si>
  <si>
    <t>УГОЛОВНО-ПРОЦЕССУАЛЬНЫЙ КОДЕКС РОССИЙСКОЙ ФЕДЕРАЦИИ</t>
  </si>
  <si>
    <t>978-5-16-021266-1</t>
  </si>
  <si>
    <t>40.05.01, 40.05.02, 40.03.02</t>
  </si>
  <si>
    <t>682622.05.01</t>
  </si>
  <si>
    <t>Управление изменениями в высшей школе: Моногр./ С.Д.Резник - М.:НИЦ ИНФРА-М,2024-388с(Науч.мысль)(П)</t>
  </si>
  <si>
    <t>УПРАВЛЕНИЕ ИЗМЕНЕНИЯМИ В ВЫСШЕЙ ШКОЛЕ</t>
  </si>
  <si>
    <t>Резник С.Д., Амбарова П.А., Архипова М.Ю. и др.</t>
  </si>
  <si>
    <t>978-5-16-013937-1</t>
  </si>
  <si>
    <t>38.04.02, 44.04.01</t>
  </si>
  <si>
    <t>797531.03.01</t>
  </si>
  <si>
    <t>Управление ИТ-архитектурой организации...Т. 1. / Р.А.Исаев-М.:НИЦ ИНФРА-М,2024.-134 с. [16+](о)</t>
  </si>
  <si>
    <t>УПРАВЛЕНИЕ ИТ-АРХИТЕКТУРОЙ ОРГАНИЗАЦИИ: ПРОЕКТИРОВАНИЕ, АНАЛИЗ, ОПТИМИЗАЦИЯ И ТРАНСФОРМАЦИЯ. ТОМ 1</t>
  </si>
  <si>
    <t>Исаев Р.А.</t>
  </si>
  <si>
    <t>978-5-16-018164-6</t>
  </si>
  <si>
    <t>09.00.00, 38.00.00, 09.05.01</t>
  </si>
  <si>
    <t>ГК СОВРЕМЕННЫЕ ТЕХНОЛОГИИ УПРАВЛЕНИЯ ООО</t>
  </si>
  <si>
    <t>800501.01.01</t>
  </si>
  <si>
    <t>Управление качеством науч.-педагогич. деят. в высшей шк.: Моногр. / С.Ф.Остапюк - М.:НИЦ ИНФРА-М,2025. - 186 с.(о)</t>
  </si>
  <si>
    <t>УПРАВЛЕНИЕ КАЧЕСТВОМ НАУЧНО-ПЕДАГОГИЧЕСКОЙ ДЕЯТЕЛЬНОСТИ В ВЫСШЕЙ ШКОЛЕ: ПРОБЛЕМЫ И РЕШЕНИЯ</t>
  </si>
  <si>
    <t>Остапюк С.Ф., Куприянова Л.М.</t>
  </si>
  <si>
    <t>978-5-16-020049-1</t>
  </si>
  <si>
    <t>Институт проблем развития науки Российской академии наук</t>
  </si>
  <si>
    <t>466050.09.01</t>
  </si>
  <si>
    <t>Управление шк.: организац.и псих.-педагог.аспекты: Слов. / А.М.Моисеев - М.:Вуз.уч.,НИЦ ИНФРА-М,2025 - 476 с.(П)</t>
  </si>
  <si>
    <t>УПРАВЛЕНИЕ ШКОЛОЙ: ОРГАНИЗАЦИОННЫЕ И ПСИХОЛОГО-ПЕДАГОГИЧЕСКИЕ АСПЕКТЫ</t>
  </si>
  <si>
    <t>Моисеев А.М., Хван А.А., Капто А.Е. и др.</t>
  </si>
  <si>
    <t>978-5-9558-0368-5</t>
  </si>
  <si>
    <t>44.03.01, 44.03.02, 44.04.01, 44.04.02, 44.04.04, 44.06.01, 44.07.01</t>
  </si>
  <si>
    <t>Рекомендовано УМО в области подготовки педагогических кадров и УМО по психолого-педагогическому образованию в качестве учебного пособия для студентов вузов, обучающихся по направлениям 44.03.01 (050100) «Педагогическое образование» и 44.03.02 (050400</t>
  </si>
  <si>
    <t>641265.02.01</t>
  </si>
  <si>
    <t>Урболандшафты на овражно-балочном рельефе: Моногр. / И.М.Евграфова - М.:НИЦ ИНФРА-М,2023 - 335 с.(П)</t>
  </si>
  <si>
    <t>УРБОЛАНДШАФТЫ НА ОВРАЖНО-БАЛОЧНОМ РЕЛЬЕФЕ</t>
  </si>
  <si>
    <t>Евграфова И.М.</t>
  </si>
  <si>
    <t>978-5-16-014305-7</t>
  </si>
  <si>
    <t>07.03.01</t>
  </si>
  <si>
    <t>766714.01.01</t>
  </si>
  <si>
    <t>Урболюция: Моногр. / С.В.Борзых - М.:НИЦ ИНФРА-М,2022 - 183 с.(Науч.мысль)(О)</t>
  </si>
  <si>
    <t>УРБОЛЮЦИЯ</t>
  </si>
  <si>
    <t>978-5-16-017302-3</t>
  </si>
  <si>
    <t>АКАДЕМУС-2021, Победитель, I место</t>
  </si>
  <si>
    <t>660920.05.01</t>
  </si>
  <si>
    <t>Урбоэкодиагностика и сбалансиров.развитие Москвы: Моногр./ И.В.Ивашкина-М.:НИЦ ИНФРА-М,2025-202с(П)</t>
  </si>
  <si>
    <t>УРБОЭКОДИАГНОСТИКА И СБАЛАНСИРОВАННОЕ РАЗВИТИЕ МОСКВЫ</t>
  </si>
  <si>
    <t>Ивашкина И.В., Кочуров Б.И.</t>
  </si>
  <si>
    <t>978-5-16-013019-4</t>
  </si>
  <si>
    <t>07.03.01, 07.03.04, 07.04.04, 08.03.01</t>
  </si>
  <si>
    <t>Научно-исследовательский и проектный институт Генерального плана города Москвы</t>
  </si>
  <si>
    <t>216100.06.01</t>
  </si>
  <si>
    <t>Урок математики в дореволюц. средней школе: Моногр./ О.А.Саввина-М.:НИЦ ИНФРА-М,2023-80с.(Науч.мысль)(О)</t>
  </si>
  <si>
    <t>УРОК МАТЕМАТИКИ В ДОРЕВОЛЮЦИОННОЙ СРЕДНЕЙ ШКОЛЕ</t>
  </si>
  <si>
    <t>Саввина О.А., Марушкина И.А.</t>
  </si>
  <si>
    <t>978-5-16-006909-8</t>
  </si>
  <si>
    <t>44.03.01, 44.03.04, 44.03.05, 44.04.04</t>
  </si>
  <si>
    <t>803689.08.01</t>
  </si>
  <si>
    <t>Устав внутренней службы Вооруженных Сил РФ  - 2 изд. - М.:НИЦ ИНФРА-М,2026. - 246с.(п)</t>
  </si>
  <si>
    <t>УСТАВ ВНУТРЕННЕЙ СЛУЖБЫ ВООРУЖЕННЫХ СИЛ РОССИЙСКОЙ ФЕДЕРАЦИИ, ИЗД.2</t>
  </si>
  <si>
    <t>978-5-16-020126-9</t>
  </si>
  <si>
    <t>803689.05.01</t>
  </si>
  <si>
    <t>Устав внутренней службы Вооруженных Сил РФ - М.:НИЦ ИНФРА-М,2024.-246с.(п)</t>
  </si>
  <si>
    <t>УСТАВ ВНУТРЕННЕЙ СЛУЖБЫ ВООРУЖЕННЫХ СИЛ РОССИЙСКОЙ ФЕДЕРАЦИИ</t>
  </si>
  <si>
    <t>978-5-16-018488-3</t>
  </si>
  <si>
    <t>803691.06.01</t>
  </si>
  <si>
    <t>Устав гарнизонной и караульной служб Вооруженных Сил РФ - 2 изд. - М.:НИЦ ИНФРА-М,2025. - 183 с.(п)</t>
  </si>
  <si>
    <t>УСТАВ ГАРНИЗОННОЙ И КАРАУЛЬНОЙ СЛУЖБ ВООРУЖЕННЫХ СИЛ РОССИЙСКОЙ ФЕДЕРАЦИИ, ИЗД.2</t>
  </si>
  <si>
    <t>978-5-16-020131-3</t>
  </si>
  <si>
    <t>803691.04.01</t>
  </si>
  <si>
    <t>Устав гарнизонной и караульной служб Вооруженных Сил РФ - М.:НИЦ ИНФРА-М,2023.-182 с.(п)</t>
  </si>
  <si>
    <t>УСТАВ ГАРНИЗОННОЙ И КАРАУЛЬНОЙ СЛУЖБ ВООРУЖЕННЫХ СИЛ РОССИЙСКОЙ ФЕДЕРАЦИИ</t>
  </si>
  <si>
    <t>978-5-16-018486-9</t>
  </si>
  <si>
    <t>744962.02.01</t>
  </si>
  <si>
    <t>Устав службы на морских судах - М.:НИЦ ИНФРА-М,2023 - 38 с.(О)</t>
  </si>
  <si>
    <t>УСТАВ СЛУЖБЫ НА МОРСКИХ СУДАХ</t>
  </si>
  <si>
    <t>978-5-16-016526-4</t>
  </si>
  <si>
    <t>26.02.03, 26.03.01, 26.03.02, 26.04.01, 26.04.02, 26.05.01, 26.05.02, 26.05.03, 26.05.04, 26.05.05, 26.05.06, 26.05.07</t>
  </si>
  <si>
    <t>818223.01.01</t>
  </si>
  <si>
    <t>Устойчивое развитие в сфере высш.образов...: Моногр. / А.А.Вахрушина - М.:НИЦ ИНФРА-М,2025.-242 с(п)</t>
  </si>
  <si>
    <t>УСТОЙЧИВОЕ РАЗВИТИЕ В СФЕРЕ ВЫСШЕГО ОБРАЗОВАНИЯ: УЧЕТНО-АНАЛИТИЧЕСКИЙ И ОБРАЗОВАТЕЛЬНЫЙ КОНТЕКСТ</t>
  </si>
  <si>
    <t>Вахрушина А.А.</t>
  </si>
  <si>
    <t>978-5-16-019566-7</t>
  </si>
  <si>
    <t>38.03.02, 38.06.01, 44.04.01, 44.04.02, 44.06.01</t>
  </si>
  <si>
    <t>806315.02.01</t>
  </si>
  <si>
    <t>Учебная мотивация: Моногр. / Под ред. Толстых Н.Н. - М.:НИЦ ИНФРА-М,2025. - 183 с.(Науч.мысль)(о)</t>
  </si>
  <si>
    <t>УЧЕБНАЯ МОТИВАЦИЯ: РАЗРАБОТКА МЕТОДИЧЕСКОГО ИНСТРУМЕНТАРИЯ</t>
  </si>
  <si>
    <t>Апасова Е.В., Кочетков Н.В., Кулагина И.Ю. и др.</t>
  </si>
  <si>
    <t>978-5-16-018761-7</t>
  </si>
  <si>
    <t>Московское высшее общевойсковое командное орденов Ленина и Октябрьской революции Краснознаменное училище</t>
  </si>
  <si>
    <t>407650.13.01</t>
  </si>
  <si>
    <t>Учебно-тренир. процесс в боксе: Моногр./ В.А.Стрельников.-М.:НИЦ ИНФРА-М, СФУ,2025.-112 с.(Науч.мысль)(О)</t>
  </si>
  <si>
    <t>УЧЕБНО-ТРЕНИРОВОЧНЫЙ ПРОЦЕСС В БОКСЕ</t>
  </si>
  <si>
    <t>Стрельников В.А., Толстиков В.А., Кузьмин В.А.</t>
  </si>
  <si>
    <t>978-5-16-016123-5</t>
  </si>
  <si>
    <t>44.03.04, 44.03.05, 44.04.04, 49.04.03</t>
  </si>
  <si>
    <t>178950.06.01</t>
  </si>
  <si>
    <t>Фил - и - Соф: Беседы о вечном и бренном: Моногр. / А.А.Лагунов - М:НИЦ Инфра-М, 2025 - 184 с.(Науч.мысль) (о)</t>
  </si>
  <si>
    <t>ФИЛ - И - СОФ: БЕСЕДЫ О ВЕЧНОМ И БРЕННОМ</t>
  </si>
  <si>
    <t>Лагунов А. А., Нижников С. А.</t>
  </si>
  <si>
    <t>978-5-16-005435-3</t>
  </si>
  <si>
    <t>674727.03.01</t>
  </si>
  <si>
    <t>Философия воспитания: Моногр. / И.А.Булгакова - М.:НИЦ ИНФРА-М,2026. - 221 с.(Науч.мысль)(П)</t>
  </si>
  <si>
    <t>ФИЛОСОФИЯ ВОСПИТАНИЯ</t>
  </si>
  <si>
    <t>978-5-16-017514-0</t>
  </si>
  <si>
    <t>44.04.02, 44.04.04, 44.05.01, 44.06.01</t>
  </si>
  <si>
    <t>337600.05.01</t>
  </si>
  <si>
    <t>Философия истории России/М.С.Колесов - 2 изд.-М.:Вузовский учебник, НИЦ ИНФРА-М,2024.-238 с.(Научная книга)(О)</t>
  </si>
  <si>
    <t>ФИЛОСОФИЯ ИСТОРИИ РОССИИ, ИЗД.2</t>
  </si>
  <si>
    <t>КолесовМ.С.</t>
  </si>
  <si>
    <t>978-5-9558-0421-7</t>
  </si>
  <si>
    <t>40.03.01, 44.03.01, 44.03.05, 46.04.01, 47.04.01</t>
  </si>
  <si>
    <t>405650.08.01</t>
  </si>
  <si>
    <t>Философия образования: иностранный яз.: Моногр./В.И.Дубинский - НИЦ ИНФРА-М, 2023-90с.(Науч. мысль) (о)</t>
  </si>
  <si>
    <t>ФИЛОСОФИЯ ОБРАЗОВАНИЯ: ИНОСТРАННЫЙ ЯЗЫК</t>
  </si>
  <si>
    <t>Дубинский В. И.</t>
  </si>
  <si>
    <t>978-5-16-006278-5</t>
  </si>
  <si>
    <t>44.04.02</t>
  </si>
  <si>
    <t>654642.09.01</t>
  </si>
  <si>
    <t>Философия политики и права: Энц. сл. / Под ред. Никандрова А.В. - М.:НИЦ ИНФРА-М,2025 - 551с.(Б-ка сл. ИНФРА-М)(П)</t>
  </si>
  <si>
    <t>ФИЛОСОФИЯ ПОЛИТИКИ И ПРАВА: ЭНЦИКЛОПЕДИЧЕСКИЙ СЛОВАРЬ</t>
  </si>
  <si>
    <t>Аласания К.Ю., Аношкин П.П., Антонова В.Н. и др.</t>
  </si>
  <si>
    <t>978-5-16-012922-8</t>
  </si>
  <si>
    <t>41.03.06, 41.04.04, 47.04.01</t>
  </si>
  <si>
    <t>708233.01.01</t>
  </si>
  <si>
    <t>Философия созидания (введение к теории): Моногр. /М.А.Петров-М.:НИЦ ИНФРА-М,2019-195с(Науч.мысль)(О)</t>
  </si>
  <si>
    <t>ФИЛОСОФИЯ СОЗИДАНИЯ (ВВЕДЕНИЕ К ТЕОРИИ)</t>
  </si>
  <si>
    <t>Петров М.А.</t>
  </si>
  <si>
    <t>978-5-16-015237-0</t>
  </si>
  <si>
    <t>672658.01.01</t>
  </si>
  <si>
    <t>Философия социального упр. в техногенном обществе:Моногр./ О.А.Беленкова-М.:НИЦ ИНФРА-М,2018-113с</t>
  </si>
  <si>
    <t>ФИЛОСОФИЯ СОЦИАЛЬНОГО УПРАВЛЕНИЯ В ТЕХНОГЕННОМ ОБЩЕСТВЕ</t>
  </si>
  <si>
    <t>Беленкова О.А., Вежнина Е.В.</t>
  </si>
  <si>
    <t>Научная мысль - УфимГНТУ</t>
  </si>
  <si>
    <t>978-5-16-013724-7</t>
  </si>
  <si>
    <t>726641.04.01</t>
  </si>
  <si>
    <t>Философия физики: к новым принципам науч. знания: Моногр. / И.А.Карпенко - М.:НИЦ ИНФРА-М,2024-203 с.(о)</t>
  </si>
  <si>
    <t>ФИЛОСОФИЯ ФИЗИКИ: К НОВЫМ ПРИНЦИПАМ НАУЧНОГО ЗНАНИЯ</t>
  </si>
  <si>
    <t>Карпенко И.А.</t>
  </si>
  <si>
    <t>978-5-16-016424-3</t>
  </si>
  <si>
    <t>00.05.11, 46.03.01, 47.03.02</t>
  </si>
  <si>
    <t>177550.05.98</t>
  </si>
  <si>
    <t>Философия экономики в России..: Моногр. / А.М.Орехов - М.:НИЦ ИНФРА-М,2016.-140 с.-(Науч.мысль)(о)</t>
  </si>
  <si>
    <t>ФИЛОСОФИЯ ЭКОНОМИКИ В РОССИИ: РОЖДЕНИЕ ТРАДИЦИИ</t>
  </si>
  <si>
    <t>978-5-16-005478-0</t>
  </si>
  <si>
    <t>38.03.01, 38.04.01, 40.03.01, 44.03.01, 44.03.05, 47.03.01, 47.04.01</t>
  </si>
  <si>
    <t>177550.09.01</t>
  </si>
  <si>
    <t>Философия экономики в России: Моногр. / А.М.Орехов, - 2 изд. - М.:НИЦ ИНФРА-М,2025. - 154 с.(О)</t>
  </si>
  <si>
    <t>ФИЛОСОФИЯ ЭКОНОМИКИ В РОССИИ: РОЖДЕНИЕ ТРАДИЦИИ, ИЗД.2</t>
  </si>
  <si>
    <t>978-5-16-013129-0</t>
  </si>
  <si>
    <t>449550.07.01</t>
  </si>
  <si>
    <t>Философия. Язык. Культура: Моногр./ Д.А.Силичев - М:Вуз. уч.: ИНФРА-М,2023-311с. (Науч. кн.) (о)</t>
  </si>
  <si>
    <t>ФИЛОСОФИЯ. ЯЗЫК. КУЛЬТУРА</t>
  </si>
  <si>
    <t>Силичев Д. А.</t>
  </si>
  <si>
    <t>978-5-9558-0331-9</t>
  </si>
  <si>
    <t>843150.01.01</t>
  </si>
  <si>
    <t>Философские идеи в мир. лит. (ист.-философ. очерки): Моногр. / П.А.Горохов - М.:НИЦ ИНФРА-М,2025. - 353 с.(п)</t>
  </si>
  <si>
    <t>ФИЛОСОФСКИЕ ИДЕИ В МИРОВОЙ ЛИТЕРАТУРЕ (ИСТОРИКО-ФИЛОСОФСКИЕ ОЧЕРКИ)</t>
  </si>
  <si>
    <t>978-5-16-020532-8</t>
  </si>
  <si>
    <t>41.04.04, 41.06.01, 45.04.01, 45.06.01, 47.04.01, 47.06.01</t>
  </si>
  <si>
    <t>740610.03.01</t>
  </si>
  <si>
    <t>Философские основы духовности: Моногр. / Е.В.Аралова.-М.:НИЦ ИНФРА-М,2022.-262 с.(Науч.мысль)(О)</t>
  </si>
  <si>
    <t>ФИЛОСОФСКИЕ ОСНОВЫ ДУХОВНОСТИ</t>
  </si>
  <si>
    <t>Аралова Е.В., Кащенко Т.Л., Положенцева И.В. и др.</t>
  </si>
  <si>
    <t>978-5-16-016357-4</t>
  </si>
  <si>
    <t>668662.03.01</t>
  </si>
  <si>
    <t>Философский анализ станд. естеств. рос. и заруб. обществ: Моногр. / Р.Н.Галиахметов-М:НИЦ ИНФРА-М, СФУ,2023-115с</t>
  </si>
  <si>
    <t>ФИЛОСОФСКИЙ АНАЛИЗ СТАНДАРТОВ ЕСТЕСТВЕННОСТИ РОССИЙСКИХ И ЗАРУБЕЖНЫХ ОБЩЕСТВ</t>
  </si>
  <si>
    <t>Галиахметов Р.Н., Дуреева Н.С.</t>
  </si>
  <si>
    <t>978-5-16-013277-8</t>
  </si>
  <si>
    <t>843207.01.01</t>
  </si>
  <si>
    <t>Философский вызов и онтолитич. эффект искусств. интеллекта / Д.С.Быльева - М.:НИЦ ИНФРА-М,2025. - 240 с(о)</t>
  </si>
  <si>
    <t>ФИЛОСОФСКИЙ ВЫЗОВ И ОНТОЛИТИЧЕСКИЙ ЭФФЕКТ ИСКУССТВЕННОГО ИНТЕЛЛЕКТА</t>
  </si>
  <si>
    <t>Быльева Д.С.</t>
  </si>
  <si>
    <t>978-5-16-020534-2</t>
  </si>
  <si>
    <t>729680.05.01</t>
  </si>
  <si>
    <t>Философско-антропологический проект российского...: Моногр. / О.Д.Маслобоева - М.:ИНФРА-М,2025-390с.(О)</t>
  </si>
  <si>
    <t>ФИЛОСОФСКО-АНТРОПОЛОГИЧЕСКИЙ ПРОЕКТ РОССИЙСКОГО ОРГАНИЦИЗМА И РУССКОГО КОСМИЗМА В КОНТЕКСТЕ СОВРЕМЕННОЙ ИСТОРИЧЕСКОЙ СИТУАЦИИ</t>
  </si>
  <si>
    <t>Маслобоева О.Д.</t>
  </si>
  <si>
    <t>978-5-16-015932-4</t>
  </si>
  <si>
    <t>657623.07.01</t>
  </si>
  <si>
    <t>Философско-мистические традиции мира: Моногр. / Н.С.Жиртуева - 2 изд.- М.:Вуз.уч., НИЦ ИНФРА-М,2024-274с(О)</t>
  </si>
  <si>
    <t>ФИЛОСОФСКО-МИСТИЧЕСКИЕ ТРАДИЦИИ МИРА, ИЗД.2</t>
  </si>
  <si>
    <t>Жиртуева Н.С.</t>
  </si>
  <si>
    <t>Научная книга (Севастопольский государственный университет)</t>
  </si>
  <si>
    <t>978-5-9558-0611-2</t>
  </si>
  <si>
    <t>37.03.01, 40.03.01, 44.03.01, 44.03.05, 46.03.01, 47.03.01, 47.03.03, 47.04.01, 47.04.03, 48.03.01, 51.03.01, 51.03.04, 54.03.04</t>
  </si>
  <si>
    <t>657623.02.01</t>
  </si>
  <si>
    <t>Философско-мистические традиции мира: Моногр. / Н.С.Жиртуева - М.:Вуз.уч., НИЦ ИНФРА-М,2018- 274с(О)</t>
  </si>
  <si>
    <t>ФИЛОСОФСКО-МИСТИЧЕСКИЕ ТРАДИЦИИ МИРА</t>
  </si>
  <si>
    <t>978-5-9558-0574-0</t>
  </si>
  <si>
    <t>813717.01.01</t>
  </si>
  <si>
    <t>Финансовая грамотность рос. студенчества: ключевое условие..: Моногр. / С.Д.Резник-М.:НИЦ ИНФРА-М,2024-331 с.(п)</t>
  </si>
  <si>
    <t>ФИНАНСОВАЯ ГРАМОТНОСТЬ РОССИЙСКОГО СТУДЕНЧЕСТВА: КЛЮЧЕВОЕ УСЛОВИЕ ОБЕСПЕЧЕНИЯ ЭКОНОМИЧЕСКОЙ САМОСТОЯТЕЛЬНОСТИ</t>
  </si>
  <si>
    <t>Резник С.Д., Черниковская М.В., Сазыкина О.А. и др.</t>
  </si>
  <si>
    <t>978-5-16-019142-3</t>
  </si>
  <si>
    <t>38.03.01, 38.03.02, 38.03.03, 44.03.01, 44.03.05</t>
  </si>
  <si>
    <t>781780.04.01</t>
  </si>
  <si>
    <t>Формирование базовых учебных действий у обучающихся..: Моногр. / И.М.Яковлева - М.:НИЦ ИНФРА-М,2025. - 144 с.(О)</t>
  </si>
  <si>
    <t>ФОРМИРОВАНИЕ БАЗОВЫХ УЧЕБНЫХ ДЕЙСТВИЙ У ОБУЧАЮЩИХСЯ С УМСТВЕННОЙ ОТСТАЛОСТЬЮ НА УРОКАХ МАТЕМАТИКИ В НАЧАЛЬНОЙ ШКОЛЕ</t>
  </si>
  <si>
    <t>978-5-16-017840-0</t>
  </si>
  <si>
    <t>44.04.03, 44.05.01, 44.06.01</t>
  </si>
  <si>
    <t>818074.01.01</t>
  </si>
  <si>
    <t>Формирование мыслит. операций старших дош...: Моногр. / М.Ю.Стожарова-М.:НИЦ ИНФРА-М,2025.-225с(о)</t>
  </si>
  <si>
    <t>ФОРМИРОВАНИЕ МЫСЛИТЕЛЬНЫХ ОПЕРАЦИЙ СТАРШИХ ДОШКОЛЬНИКОВ В МАТЕМАТИЧЕСКОЙ ДЕЯТЕЛЬНОСТИ</t>
  </si>
  <si>
    <t>Стожарова М.Ю., Забродина Н.А.</t>
  </si>
  <si>
    <t>978-5-16-019681-7</t>
  </si>
  <si>
    <t>842824.01.01</t>
  </si>
  <si>
    <t>Формирование нового образоват. уклада в доп. проф. образ. / О.Е.Ломакин. - М.:НИЦ ИНФРА-М,2025. - 173 с.(о)</t>
  </si>
  <si>
    <t>ФОРМИРОВАНИЕ НОВОГО ОБРАЗОВАТЕЛЬНОГО УКЛАДА В ДОПОЛНИТЕЛЬНОМ ПРОФЕССИОНАЛЬНОМ ОБРАЗОВАНИИ</t>
  </si>
  <si>
    <t>Ломакин О.Е., Можаев Е.Е., Марков А.К. и др.</t>
  </si>
  <si>
    <t>978-5-16-020450-5</t>
  </si>
  <si>
    <t>461700.03.01</t>
  </si>
  <si>
    <t>Формирование профессионал.компетентности курсантов..:Моногр./О.В.Евтихов-М.:НИЦ ИНФРА-М,2024-181с(о)</t>
  </si>
  <si>
    <t>ФОРМИРОВАНИЕ ПРОФЕССИОНАЛЬНОЙ КОМПЕТЕНТНОСТИ КУРСАНТОВ В ОБРАЗОВАТЕЛЬНОЙ СРЕДЕ ВУЗА  ПРАВООХРАНИТЕЛЬНЫХ ОРГАНОВ</t>
  </si>
  <si>
    <t>ЕвтиховО.В.</t>
  </si>
  <si>
    <t>978-5-16-011508-5</t>
  </si>
  <si>
    <t>Сибирский юридический институт Министерства внутренних дел Российской Федерации</t>
  </si>
  <si>
    <t>717642.01.01</t>
  </si>
  <si>
    <t>Формирование у студентов педагогических профилей...: Моногр./ Т.Г.Неретина-М.:НИЦ ИНФРА-М,2020-117с.(О)</t>
  </si>
  <si>
    <t>ФОРМИРОВАНИЕ У СТУДЕНТОВ ПЕДАГОГИЧЕСКИХ ПРОФИЛЕЙ «ОБРАЗА Я РОДИТЕЛЯ» В ПРОЦЕССЕ ПРОФЕССИОНАЛЬНОЙ ПОДГОТОВКИ В ВУЗЕ</t>
  </si>
  <si>
    <t>Неретина Т.Г., Орехова Т.Ф.</t>
  </si>
  <si>
    <t>978-5-16-015603-3</t>
  </si>
  <si>
    <t>44.04.01, 44.04.02, 44.04.03, 44.04.04</t>
  </si>
  <si>
    <t>720222.01.01</t>
  </si>
  <si>
    <t>Фрактально-хаотические свойства когнитивных процес.../ В.Г.Каменская-М.:НИЦ ИНФРА-М,2020.-217 с.(О)</t>
  </si>
  <si>
    <t>ФРАКТАЛЬНО-ХАОТИЧЕСКИЕ СВОЙСТВА КОГНИТИВНЫХ ПРОЦЕССОВ: ВОЗРАСТНОЙ АСПЕКТ</t>
  </si>
  <si>
    <t>Каменская В.Г., Томанов Л.В.</t>
  </si>
  <si>
    <t>978-5-16-015748-1</t>
  </si>
  <si>
    <t>37.03.01, 37.06.01, 44.03.04, 44.03.05</t>
  </si>
  <si>
    <t>631893.04.01</t>
  </si>
  <si>
    <t>Французский язык в Африке: проблемы интерференции: Моногр. / Ж.Багана - М.:НИЦ ИНФРА-М,2026. - 163 с.(о)</t>
  </si>
  <si>
    <t>ФРАНЦУЗСКИЙ ЯЗЫК В АФРИКЕ: ПРОБЛЕМЫ ИНТЕРФЕРЕНЦИИ</t>
  </si>
  <si>
    <t>Багана Ж.</t>
  </si>
  <si>
    <t>978-5-16-019040-2</t>
  </si>
  <si>
    <t>45.03.02</t>
  </si>
  <si>
    <t>182850.02.01</t>
  </si>
  <si>
    <t>Французский язык в Африке: проблемы фразеологии: монография / Ж.Багана и др.-М.:НИЦ ИНФРА-М,2014.-144 с..-(Науч.мысль)(О. КБС)</t>
  </si>
  <si>
    <t>ФРАНЦУЗСКИЙ ЯЗЫК В АФРИКЕ: ПРОБЛЕМЫ ФРАЗЕОЛОГИИ</t>
  </si>
  <si>
    <t>Багана Ж., Лангнер А.Н., Останкова В.Ф.</t>
  </si>
  <si>
    <t>978-5-16-005441-4</t>
  </si>
  <si>
    <t>737705.01.01</t>
  </si>
  <si>
    <t>Функционально-семантич. категория альтернатив. в свете традиц...: Моногр. / Н.Г.Склярова-М.:НИЦ ИНФРА-М,2022-413с(О)</t>
  </si>
  <si>
    <t>ФУНКЦИОНАЛЬНО-СЕМАНТИЧЕСКАЯ КАТЕГОРИЯ АЛЬТЕРНАТИВНОСТИ В СВЕТЕ ТРАДИЦИОННЫХ И СОВРЕМЕННЫХ ЛИНГВИСТИЧЕСКИХ КОНЦЕПЦИЙ</t>
  </si>
  <si>
    <t>978-5-16-017032-9</t>
  </si>
  <si>
    <t>45.04.01, 45.04.02, 45.04.03</t>
  </si>
  <si>
    <t>279600.07.01</t>
  </si>
  <si>
    <t>Характеры героев Шекспира: Монография / С.Ю.Поройков - М.:НИЦ ИНФРА-М,2022 - 240 с.-(Науч.мысль)(О)</t>
  </si>
  <si>
    <t>ХАРАКТЕРЫ ГЕРОЕВ ШЕКСПИРА</t>
  </si>
  <si>
    <t>978-5-16-009822-7</t>
  </si>
  <si>
    <t>37.03.01, 37.04.01, 44.03.01, 44.03.05, 45.03.01, 45.04.01, 45.06.01</t>
  </si>
  <si>
    <t>639321.05.01</t>
  </si>
  <si>
    <t>Хемингуэй и его женщины. Страницы жизни и творч.: Моногр. / Б.А.Гиленсон-М.:НИЦ ИНФРА-М,2025.-264 с.(о)</t>
  </si>
  <si>
    <t>ХЕМИНГУЭЙ И ЕГО ЖЕНЩИНЫ. СТРАНИЦЫ ЖИЗНИ И ТВОРЧЕСТВА</t>
  </si>
  <si>
    <t>978-5-16-018559-0</t>
  </si>
  <si>
    <t>768877.01.01</t>
  </si>
  <si>
    <t>Химия: терминологический словарь / А.П.Гаршин - М.:НИЦ ИНФРА-М,2025. - 310 с.-(Б-ка словарей ИНФРА-М)(п)</t>
  </si>
  <si>
    <t>ХИМИЯ: ТЕРМИНОЛОГИЧЕСКИЙ СЛОВАРЬ</t>
  </si>
  <si>
    <t>Гаршин А.П.</t>
  </si>
  <si>
    <t>978-5-16-018292-6</t>
  </si>
  <si>
    <t>Химические науки</t>
  </si>
  <si>
    <t>00.03.40</t>
  </si>
  <si>
    <t>155100.07.01</t>
  </si>
  <si>
    <t>Христианские писатели II-XV вв. Византия и латин. Запад: Сл.-справ. / Ю.В.Балакин - Форум,2024 - 576с. (П)</t>
  </si>
  <si>
    <t>ХРИСТИАНСКИЕ ПИСАТЕЛИ II-XV ВЕКОВ. ВИЗАНТИЯ И ЛАТИНСКИЙ ЗАПАД</t>
  </si>
  <si>
    <t>Балакин Ю. В.</t>
  </si>
  <si>
    <t>978-5-91134-497-9</t>
  </si>
  <si>
    <t>260300.04.01</t>
  </si>
  <si>
    <t>Цветофразеологизмы рус. и исп. яз. в лингв..: Моногр. / Ж.Багана-М:НИЦ ИНФРА-М,2024-116с(Науч.мысль)</t>
  </si>
  <si>
    <t>ЦВЕТОФРАЗЕОЛОГИЗМЫ РУССКОГО И ИСПАНСКОГО ЯЗЫКОВ В ЛИНГВОКУЛЬТУРНОМ АСПЕКТЕ</t>
  </si>
  <si>
    <t>Багана Ж., Еркова Д. Н.</t>
  </si>
  <si>
    <t>978-5-16-009503-5</t>
  </si>
  <si>
    <t>780147.05.01</t>
  </si>
  <si>
    <t>Ценностное отнош. к семье как основа духовно-нравств... / Т.А.Серебрякова - М.:НИЦ ИНФРА-М,2026. - 185 с.(О)</t>
  </si>
  <si>
    <t>ЦЕННОСТНОЕ ОТНОШЕНИЕ К СЕМЬЕ КАК ОСНОВА ДУХОВНО-НРАВСТВЕННОГО СТАНОВЛЕНИЯ ЛИЧНОСТИ</t>
  </si>
  <si>
    <t>Серебрякова Т.А., Конева И.А.</t>
  </si>
  <si>
    <t>978-5-16-018283-4</t>
  </si>
  <si>
    <t>39.04.02, 39.04.03, 39.06.01, 44.04.01, 44.04.02, 44.05.01, 44.06.01</t>
  </si>
  <si>
    <t>681408.02.01</t>
  </si>
  <si>
    <t>Ценностный мир совр. рос. молодежи: Моногр. / И.В.Бормотов - М.:НИЦ ИНФРА-М,2026 - 178 с.(Научная мысль)(О)</t>
  </si>
  <si>
    <t>ЦЕННОСТНЫЙ МИР СОВРЕМЕННОЙ РОССИЙСКОЙ МОЛОДЕЖИ (СОЦИАЛЬНО-ФИЛОСОФСКИЙ АНАЛИЗ)</t>
  </si>
  <si>
    <t>Бормотов И.В.</t>
  </si>
  <si>
    <t>978-5-16-017332-0</t>
  </si>
  <si>
    <t>39.03.03, 39.04.03, 39.06.01</t>
  </si>
  <si>
    <t>Финансовый университет при Правительстве Российской Федерации, Тульский ф-л</t>
  </si>
  <si>
    <t>817651.02.01</t>
  </si>
  <si>
    <t>Центральные территории Тольятти...: Моногр. / Д.Б.Веретенников - М.:НИЦ ИНФРА-М,2026 - 293 с.(Науч.мысль)(п)</t>
  </si>
  <si>
    <t>ЦЕНТРАЛЬНЫЕ ТЕРРИТОРИИ ТОЛЬЯТТИ: ИСТОРИЯ ФОРМИРОВАНИЯ И ПЕРСПЕКТИВЫ РАЗВИТИЯ</t>
  </si>
  <si>
    <t>Веретенников Д.Б.</t>
  </si>
  <si>
    <t>978-5-16-019913-9</t>
  </si>
  <si>
    <t>07.04.01, 07.04.03, 07.04.04, 07.06.01</t>
  </si>
  <si>
    <t>Самарский государственный технический университет</t>
  </si>
  <si>
    <t>АКАДЕМУС-2024, Победитель, I место</t>
  </si>
  <si>
    <t>734293.02.01</t>
  </si>
  <si>
    <t>Человек и его просвещение..: Моногр. / Под ред. Кального И.И. - М.:НИЦ ИНФРА-М,2022 - 336 с.(Науч.мысль)(О)</t>
  </si>
  <si>
    <t>ЧЕЛОВЕК И ЕГО ПРОСВЕЩЕНИЕ: ИДЕИ, ПРОЕКТЫ, ПРАКТИКА</t>
  </si>
  <si>
    <t>Володин А.Н., Габриелян А.М., Жупник О.Н. и др.</t>
  </si>
  <si>
    <t>978-5-16-016611-7</t>
  </si>
  <si>
    <t>00.03.04, 00.03.05, 00.03.11, 00.05.04, 00.05.05, 00.05.11</t>
  </si>
  <si>
    <t>671332.03.01</t>
  </si>
  <si>
    <t>Человек рисующий. Отображение иерарх.и инверсив...: Моногр./ Д.А.Севостьянов-М.:НИЦ ИНФРА-М,2024-208с(П)</t>
  </si>
  <si>
    <t>ЧЕЛОВЕК РИСУЮЩИЙ. ОТОБРАЖЕНИЕ ИЕРАРХИЧЕСКИХ И ИНВЕРСИВНЫХ ОТНОШЕНИЙ В ГРАФИЧЕСКОЙ ДЕЯТЕЛЬНОСТИ</t>
  </si>
  <si>
    <t>978-5-16-013504-5</t>
  </si>
  <si>
    <t>31.05.02, 37.03.01, 37.05.01, 44.03.01, 44.03.02, 44.03.03, 44.03.04, 44.03.05, 44.05.01</t>
  </si>
  <si>
    <t>753390.01.01</t>
  </si>
  <si>
    <t>Человек: индивид, индивидуал., личность: Моногр. / Под ред. Кального И.И.-М.:НИЦ ИНФРА-М,2022.-351 с.(Науч.мысль)(П)</t>
  </si>
  <si>
    <t>ЧЕЛОВЕК: ИНДИВИД, ИНДИВИДУАЛЬНОСТЬ, ЛИЧНОСТЬ</t>
  </si>
  <si>
    <t>Бельский В.Ю., Боровинская Д.Н., Воеводин А.П. и др.</t>
  </si>
  <si>
    <t>978-5-16-017105-0</t>
  </si>
  <si>
    <t>00.05.10, 00.05.11, 44.03.01, 47.04.01, 47.06.01, 51.04.01</t>
  </si>
  <si>
    <t>661732.03.01</t>
  </si>
  <si>
    <t>Эволюция культуры: Монография / С.В.Борзых - М.:НИЦ ИНФРА-М,2024.-142 с.(Науч.мысль)(О)</t>
  </si>
  <si>
    <t>ЭВОЛЮЦИЯ КУЛЬТУРЫ</t>
  </si>
  <si>
    <t>978-5-16-013860-2</t>
  </si>
  <si>
    <t>40.03.01, 44.03.01, 44.03.05, 47.03.01, 51.03.01, 51.03.04, 51.04.01</t>
  </si>
  <si>
    <t>690054.04.01</t>
  </si>
  <si>
    <t>Эволюция понятийного аппарата педагог..: Моногр. / М.А.Галагузова - М.:НИЦ ИНФРА-М,2025 - 137 с.(Науч.мысль)(О)</t>
  </si>
  <si>
    <t>ЭВОЛЮЦИЯ ПОНЯТИЙНОГО АППАРАТА ПЕДАГОГИКИ И ОБРАЗОВАНИЯ</t>
  </si>
  <si>
    <t>Галагузова М.А., Штинова Г.Н.</t>
  </si>
  <si>
    <t>978-5-16-014479-5</t>
  </si>
  <si>
    <t>37.03.01, 37.05.01, 44.03.01, 44.03.03, 44.03.05, 44.04.04, 46.04.02, 49.03.03, 51.03.01, 51.03.02, 51.03.05, 51.03.06</t>
  </si>
  <si>
    <t>725296.01.01</t>
  </si>
  <si>
    <t>Экзистенциалы Шекспира: Монография / П.А.Горохов - М.:НИЦ ИНФРА-М,2021 - 218 с.(Науч.мысль)(О)</t>
  </si>
  <si>
    <t>ЭКЗИСТЕНЦИАЛЫ ШЕКСПИРА</t>
  </si>
  <si>
    <t>978-5-16-015883-9</t>
  </si>
  <si>
    <t>777493.03.01</t>
  </si>
  <si>
    <t>Экология экранных искусств: Монография / А.И.Чупринский-М.:НИЦ ИНФРА-М,2024.-182 с..-(Науч.мысль)(о)</t>
  </si>
  <si>
    <t>ЭКОЛОГИЯ ЭКРАННЫХ ИСКУССТВ</t>
  </si>
  <si>
    <t>Чупринский А.И.</t>
  </si>
  <si>
    <t>978-5-16-017731-1</t>
  </si>
  <si>
    <t>42.03.04, 42.03.05, 42.04.04, 42.04.05, 42.06.01, 50.04.04, 55.05.05</t>
  </si>
  <si>
    <t>Белорусская государственная академия искусств</t>
  </si>
  <si>
    <t>078000.11.01</t>
  </si>
  <si>
    <t>Экономика от "А" до "Я": Тематический справочник / Г.М.Гукасьян - М.:НИЦ ИНФРА-М,2024 - 480 с.(П)</t>
  </si>
  <si>
    <t>ЭКОНОМИКА ОТ "А" ДО "Я": ТЕМАТИЧЕСКИЙ СПРАВОЧНИК</t>
  </si>
  <si>
    <t>Гукасьян Г. М.</t>
  </si>
  <si>
    <t>978-5-16-012527-5</t>
  </si>
  <si>
    <t>00.03.13, 00.05.13</t>
  </si>
  <si>
    <t>789947.03.01</t>
  </si>
  <si>
    <t>Экосистема вузов: трансформация рос. системы обр. / Под ред. Прокофьева С.Е. - М.:НИЦ ИНФРА-М,2025. - 485 с.(П)</t>
  </si>
  <si>
    <t>ЭКОСИСТЕМА ВУЗОВ: ТРАНСФОРМАЦИЯ РОССИЙСКОЙ СИСТЕМЫ ОБРАЗОВАНИЯ</t>
  </si>
  <si>
    <t>Прокофьев С.Е., Каменева Е.А., Солянникова С.П. и др.</t>
  </si>
  <si>
    <t>978-5-16-017986-5</t>
  </si>
  <si>
    <t>38.04.01, 38.04.02, 38.04.04, 38.06.01</t>
  </si>
  <si>
    <t>776798.04.01</t>
  </si>
  <si>
    <t>Экстремизм: теория и противодействие: Сл.-справ. / В.О.Давыдов - М.:НИЦ ИНФРА-М,2026. - 323 с.(п)</t>
  </si>
  <si>
    <t>ЭКСТРЕМИЗМ: ТЕОРИЯ И ПРОТИВОДЕЙСТВИЕ</t>
  </si>
  <si>
    <t>Давыдов В.О.</t>
  </si>
  <si>
    <t>978-5-16-017775-5</t>
  </si>
  <si>
    <t>Тульский государственный университет</t>
  </si>
  <si>
    <t>652894.07.01</t>
  </si>
  <si>
    <t>Электрооборудование и электроника автомобилей.: Сл.-справ. / С.М.Зуев - М.:НИЦ ИНФРА-М,2025 - 200 с.(П)</t>
  </si>
  <si>
    <t>ЭЛЕКТРООБОРУДОВАНИЕ И ЭЛЕКТРОНИКА АВТОМОБИЛЕЙ. КРАТКИЙ ТОЛКОВЫЙ РУССКО-АНГЛИЙСКИЙ ТЕРМИНОЛОГИЧЕСКИЙ СЛОВАРЬ</t>
  </si>
  <si>
    <t>Зуев С.М., Варламов Д.О., Лавриков А.А. и др.</t>
  </si>
  <si>
    <t>978-5-16-016826-5</t>
  </si>
  <si>
    <t>23.03.01, 23.03.02, 23.03.03, 23.04.02</t>
  </si>
  <si>
    <t>МИРЭА - Российский технологический университет</t>
  </si>
  <si>
    <t>695041.02.01</t>
  </si>
  <si>
    <t>Элитология Платона (античные аспекты...): Моногр. / П.Л.Карабущенко - 2 изд.-М.:НИЦ ИНФРА-М,2023-348с(П)</t>
  </si>
  <si>
    <t>ЭЛИТОЛОГИЯ ПЛАТОНА (АНТИЧНЫЕ АСПЕКТЫ ФИЛОСОФИИ ИЗБРАННОСТИ), ИЗД.2</t>
  </si>
  <si>
    <t>Карабущенко П.Л.</t>
  </si>
  <si>
    <t>978-5-16-014636-2</t>
  </si>
  <si>
    <t>Астраханский государственный университет имени В.Н. Татищева</t>
  </si>
  <si>
    <t>674005.10.01</t>
  </si>
  <si>
    <t>Эмоциональное отверж.реб.родителями...: Моногр. / Е.В.Голубева - М.:НИЦ ИНФРА-М,2025 - 186 с.(Науч.мысль)(О)</t>
  </si>
  <si>
    <t>ЭМОЦИОНАЛЬНОЕ ОТВЕРЖЕНИЕ РЕБЕНКА РОДИТЕЛЯМИ: ПРИЧИНЫ И ПОСЛЕДСТВИЯ</t>
  </si>
  <si>
    <t>Голубева Е.В., Истратова О.Н.</t>
  </si>
  <si>
    <t>978-5-16-013666-0</t>
  </si>
  <si>
    <t>37.03.01, 37.04.01, 44.03.02, 44.04.01, 44.04.02, 44.05.01</t>
  </si>
  <si>
    <t>639301.07.01</t>
  </si>
  <si>
    <t>Эрнест Хемингуэй: легенда и реальность: Моногр. / Б.А.Гиленсон - М.:НИЦ ИНФРА-М,2026 - 206 с.(Науч.мысль)(П)</t>
  </si>
  <si>
    <t>ЭРНЕСТ ХЕМИНГУЭЙ: ЛЕГЕНДА И РЕАЛЬНОСТЬ</t>
  </si>
  <si>
    <t>978-5-16-012268-7</t>
  </si>
  <si>
    <t>41.03.06, 42.03.02, 42.03.03, 42.03.04</t>
  </si>
  <si>
    <t>724894.03.01</t>
  </si>
  <si>
    <t>Этика чел. достоинства: ист. и совр.: Моногр. / Ю.П.Воропаева - М.:НИЦ ИНФРА-М,2025 - 243 с.(Науч.мысль)(О)</t>
  </si>
  <si>
    <t>ЭТИКА ЧЕЛОВЕЧЕСКОГО ДОСТОИНСТВА: ИСТОРИЯ И СОВРЕМЕННОСТЬ</t>
  </si>
  <si>
    <t>Воропаева Ю.П., Коломиец Г.Г.</t>
  </si>
  <si>
    <t>978-5-16-015885-3</t>
  </si>
  <si>
    <t>663732.06.01</t>
  </si>
  <si>
    <t>Этногерменевтика русской сказки: Моногр. / М.В.Пименова-М.:НИЦ ИНФРА-М,2024.-355 с.(Науч.мысль)(П)</t>
  </si>
  <si>
    <t>ЭТНОГЕРМЕНЕВТИКА РУССКОЙ СКАЗКИ</t>
  </si>
  <si>
    <t>Пименова М.В.</t>
  </si>
  <si>
    <t>978-5-16-013459-8</t>
  </si>
  <si>
    <t>Военная академия материально-технического обеспечения им. Генерала армии А.В. Хрулёва</t>
  </si>
  <si>
    <t>284100.08.01</t>
  </si>
  <si>
    <t>Этноцентризм в содержании отечеств. и зарубеж. школ. уч.: Моногр. / В.В.Ковригин -М.:ИНФРА-М, 2024-87с (о)</t>
  </si>
  <si>
    <t>ЭТНОЦЕНТРИЗМ В СОДЕРЖАНИИ ОТЕЧЕСТВЕННЫХ И ЗАРУБЕЖНЫХ ШКОЛЬНЫХ УЧЕБНИКОВ</t>
  </si>
  <si>
    <t>Ковригин В. В.</t>
  </si>
  <si>
    <t>978-5-16-009906-4</t>
  </si>
  <si>
    <t>37.03.01, 37.04.01, 39.03.01, 39.04.01, 44.03.01, 44.04.01, 46.03.01, 46.04.01</t>
  </si>
  <si>
    <t>667743.04.01</t>
  </si>
  <si>
    <t>Ю.В. Бондарев: творческая эволюция писателя: Моногр. / Л.С.Шкурат - 2 изд. - М.:НИЦ ИНФРА-М,2022-252 с.(Науч.мысль)(П)</t>
  </si>
  <si>
    <t>Ю.В. БОНДАРЕВ: ТВОРЧЕСКАЯ ЭВОЛЮЦИЯ ПИСАТЕЛЯ, ИЗД.2</t>
  </si>
  <si>
    <t>Шкурат Л.С.</t>
  </si>
  <si>
    <t>978-5-16-013289-1</t>
  </si>
  <si>
    <t>767829.03.01</t>
  </si>
  <si>
    <t>Южнофранцузская готика: Моногр. / И.И.Орлов - М.:НИЦ ИНФРА-М,2026. - 426 с.(Науч.мысль)(П)</t>
  </si>
  <si>
    <t>ЮЖНОФРАНЦУЗСКАЯ ГОТИКА</t>
  </si>
  <si>
    <t>Орлов И.И.</t>
  </si>
  <si>
    <t>978-5-16-017331-3</t>
  </si>
  <si>
    <t>07.04.01, 07.06.01</t>
  </si>
  <si>
    <t>Липецкий Государственный Технический Университет</t>
  </si>
  <si>
    <t>766164.02.01</t>
  </si>
  <si>
    <t>Язык настроения: Моногр. / В.К.Харченко - М.:НИЦ ИНФРА-М,2024 - 231 с.(Науч.мысль)(О)</t>
  </si>
  <si>
    <t>ЯЗЫК НАСТРОЕНИЯ</t>
  </si>
  <si>
    <t>978-5-16-017224-8</t>
  </si>
  <si>
    <t>45.03.99, 45.04.01, 45.04.02, 45.04.03, 45.06.01, 51.03.02, 51.06.01, 52.05.04</t>
  </si>
  <si>
    <t>794806.01.01</t>
  </si>
  <si>
    <t>Язык рук. социальной группы или «Танцы под дождем».: Моногр. / В.К.Харченко-М.:НИЦ ИНФРА-М,2023.-157 с.(о)</t>
  </si>
  <si>
    <t>ЯЗЫК РУКОВОДИТЕЛЯ СОЦИАЛЬНОЙ ГРУППЫ, ИЛИ «ТАНЦЫ ПОД ДОЖДЕМ».</t>
  </si>
  <si>
    <t>978-5-16-018106-6</t>
  </si>
  <si>
    <t>37.04.01, 37.04.02, 37.05.02, 39.04.01, 39.04.03, 39.06.01, 42.04.02, 42.06.01, 45.04.01, 45.06.01</t>
  </si>
  <si>
    <t>728274.04.01</t>
  </si>
  <si>
    <t>Язык. Речевая деят. Дискурс: Моногр. / В.М.Бурунский.-М.:НИЦ ИНФРА-М,2021.-164 с.(Науч.мысль)(О)</t>
  </si>
  <si>
    <t>ЯЗЫК. РЕЧЕВАЯ ДЕЯТЕЛЬНОСТЬ. ДИСКУРС</t>
  </si>
  <si>
    <t>Бурунский В.М., Гвоздев В.В., Девицкая З.Б. и др.</t>
  </si>
  <si>
    <t>978-5-16-015933-1</t>
  </si>
  <si>
    <t>Курский государственный университет</t>
  </si>
  <si>
    <t>788692.02.01</t>
  </si>
  <si>
    <t>Язык: жизнь смыслов vs  смысл жизни: Моногр. / Е.В.Белоглазова - М.:НИЦ ИНФРА-М,2024. - 294 с.(Науч.мысль)(п)</t>
  </si>
  <si>
    <t>ЯЗЫК: ЖИЗНЬ СМЫСЛОВ VS  СМЫСЛ ЖИЗНИ</t>
  </si>
  <si>
    <t>Белоглазова Е.В., Бобырева Е.В., Боженкова Н.А. и др.</t>
  </si>
  <si>
    <t>978-5-16-018258-2</t>
  </si>
  <si>
    <t>39.04.01, 39.06.01, 45.04.01, 45.04.02, 51.04.01, 51.06.01</t>
  </si>
  <si>
    <t>260200.11.01</t>
  </si>
  <si>
    <t>Языковая вариативность англ. яз. Великобритании, США...: Моногр./ Ж.Багана -М.:НИЦ ИНФРА-М,2023-124 с.(Науч.мысль)(о)</t>
  </si>
  <si>
    <t>ЯЗЫКОВАЯ ВАРИАТИВНОСТЬ АНГЛИЙСКОГО ЯЗЫКА ВЕЛИКОБРИТАНИИ, США И КАНАДЫ</t>
  </si>
  <si>
    <t>Багана Ж., Безрукая А. Н., Таранова Е. Н.</t>
  </si>
  <si>
    <t>978-5-16-009502-8</t>
  </si>
  <si>
    <t>842819.01.01</t>
  </si>
  <si>
    <t>Языковые идеологии и американский языковой империализм / М.А.Марусенко - М.:НИЦ ИНФРА-М,2025. - 240 с.(п)</t>
  </si>
  <si>
    <t>ЯЗЫКОВЫЕ ИДЕОЛОГИИ И АМЕРИКАНСКИЙ ЯЗЫКОВОЙ ИМПЕРИАЛИЗМ</t>
  </si>
  <si>
    <t>978-5-16-020391-1</t>
  </si>
  <si>
    <t>45.04.01, 45.04.02, 45.06.01</t>
  </si>
</sst>
</file>

<file path=xl/styles.xml><?xml version="1.0" encoding="utf-8"?>
<styleSheet xmlns="http://schemas.openxmlformats.org/spreadsheetml/2006/main">
  <numFmts count="1">
    <numFmt numFmtId="164" formatCode="[=0]&quot;&quot;;General"/>
  </numFmts>
  <fonts count="10">
    <font>
      <sz val="8"/>
      <name val="Arial"/>
    </font>
    <font>
      <b/>
      <sz val="11"/>
      <color rgb="FF000000"/>
      <name val="Calibri"/>
      <charset val="204"/>
    </font>
    <font>
      <b/>
      <sz val="16"/>
      <color rgb="FF000000"/>
      <name val="Calibri"/>
      <charset val="204"/>
    </font>
    <font>
      <b/>
      <u/>
      <sz val="11"/>
      <color rgb="FF000000"/>
      <name val="Calibri"/>
      <charset val="204"/>
    </font>
    <font>
      <sz val="11"/>
      <color rgb="FF000000"/>
      <name val="Calibri"/>
      <charset val="204"/>
    </font>
    <font>
      <u/>
      <sz val="11"/>
      <color rgb="FF0000FF"/>
      <name val="Calibri"/>
      <charset val="204"/>
    </font>
    <font>
      <sz val="8"/>
      <color rgb="FF000000"/>
      <name val="Arial"/>
      <charset val="204"/>
    </font>
    <font>
      <b/>
      <sz val="8"/>
      <color rgb="FF000000"/>
      <name val="Arial"/>
      <charset val="204"/>
    </font>
    <font>
      <u/>
      <sz val="8"/>
      <color rgb="FF0000FF"/>
      <name val="Calibri"/>
      <charset val="204"/>
    </font>
    <font>
      <u/>
      <sz val="8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AFAD2"/>
        <bgColor auto="1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0" fillId="0" borderId="0" xfId="0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9" fillId="0" borderId="1" xfId="1" applyBorder="1" applyAlignment="1" applyProtection="1">
      <alignment horizontal="left" wrapText="1"/>
    </xf>
    <xf numFmtId="0" fontId="9" fillId="0" borderId="4" xfId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AB772"/>
  <sheetViews>
    <sheetView tabSelected="1" workbookViewId="0">
      <selection sqref="A1:E1"/>
    </sheetView>
  </sheetViews>
  <sheetFormatPr defaultColWidth="10.5" defaultRowHeight="11.45" customHeight="1"/>
  <cols>
    <col min="1" max="1" width="5.83203125" style="1" customWidth="1"/>
    <col min="2" max="2" width="13.83203125" style="1" customWidth="1"/>
    <col min="3" max="3" width="10.5" style="1" customWidth="1"/>
    <col min="4" max="4" width="53.5" style="1" customWidth="1"/>
    <col min="5" max="5" width="52.6640625" style="1" customWidth="1"/>
    <col min="6" max="6" width="21" style="1" customWidth="1"/>
    <col min="7" max="7" width="13" style="1" customWidth="1"/>
    <col min="8" max="8" width="19.33203125" style="1" customWidth="1"/>
    <col min="9" max="9" width="33.6640625" style="1" customWidth="1"/>
    <col min="10" max="10" width="6.33203125" style="1" customWidth="1"/>
    <col min="11" max="11" width="8.5" style="1" customWidth="1"/>
    <col min="12" max="12" width="8.1640625" style="1" customWidth="1"/>
    <col min="13" max="13" width="21.1640625" style="1" customWidth="1"/>
    <col min="14" max="14" width="43.5" style="1" customWidth="1"/>
    <col min="15" max="15" width="35.5" style="1" customWidth="1"/>
    <col min="16" max="16" width="34" style="1" customWidth="1"/>
    <col min="17" max="17" width="38.1640625" style="1" customWidth="1"/>
    <col min="18" max="19" width="10.5" style="1" customWidth="1"/>
    <col min="20" max="20" width="15.33203125" style="1" customWidth="1"/>
    <col min="21" max="21" width="15.1640625" style="1" customWidth="1"/>
    <col min="22" max="22" width="20.33203125" style="1" customWidth="1"/>
    <col min="23" max="23" width="55.83203125" style="1" customWidth="1"/>
    <col min="24" max="27" width="10.5" style="1" customWidth="1"/>
    <col min="28" max="28" width="17.83203125" style="1" customWidth="1"/>
  </cols>
  <sheetData>
    <row r="1" spans="1:28" s="1" customFormat="1" ht="15" customHeight="1">
      <c r="A1" s="15" t="s">
        <v>0</v>
      </c>
      <c r="B1" s="15"/>
      <c r="C1" s="15"/>
      <c r="D1" s="15"/>
      <c r="E1" s="15"/>
      <c r="F1" s="16" t="s">
        <v>1</v>
      </c>
      <c r="G1" s="16"/>
      <c r="H1" s="16"/>
      <c r="I1" s="16"/>
      <c r="J1" s="18" t="s">
        <v>2</v>
      </c>
      <c r="K1" s="18"/>
      <c r="L1" s="18"/>
      <c r="M1" s="18"/>
      <c r="N1" s="18"/>
      <c r="O1" s="18"/>
    </row>
    <row r="2" spans="1:28" s="1" customFormat="1" ht="15" customHeight="1">
      <c r="A2" s="19" t="s">
        <v>3</v>
      </c>
      <c r="B2" s="19"/>
      <c r="C2" s="19"/>
      <c r="D2" s="19"/>
      <c r="E2" s="19"/>
      <c r="F2" s="17"/>
      <c r="G2" s="17"/>
      <c r="H2" s="17"/>
      <c r="I2" s="17"/>
      <c r="J2" s="20" t="s">
        <v>4</v>
      </c>
      <c r="K2" s="20"/>
      <c r="L2" s="20"/>
      <c r="M2" s="20"/>
      <c r="N2" s="20"/>
      <c r="O2" s="20"/>
    </row>
    <row r="3" spans="1:28" s="1" customFormat="1" ht="15" customHeight="1">
      <c r="A3" s="19" t="s">
        <v>5</v>
      </c>
      <c r="B3" s="19"/>
      <c r="C3" s="19"/>
      <c r="D3" s="19"/>
      <c r="E3" s="19"/>
      <c r="F3" s="17"/>
      <c r="G3" s="17"/>
      <c r="H3" s="17"/>
      <c r="I3" s="17"/>
      <c r="J3" s="21"/>
      <c r="K3" s="21"/>
      <c r="L3" s="21"/>
      <c r="M3" s="21"/>
      <c r="N3" s="21"/>
      <c r="O3" s="21"/>
    </row>
    <row r="4" spans="1:28" s="1" customFormat="1" ht="15" customHeight="1">
      <c r="A4" s="23" t="str">
        <f>HYPERLINK("mailto:books@infra-m.ru", "mailto:books@infra-m.ru")</f>
        <v>mailto:books@infra-m.ru</v>
      </c>
      <c r="B4" s="22"/>
      <c r="C4" s="22"/>
      <c r="D4" s="22"/>
      <c r="E4" s="22"/>
      <c r="F4" s="17"/>
      <c r="G4" s="17"/>
      <c r="H4" s="17"/>
      <c r="I4" s="17"/>
      <c r="J4" s="21"/>
      <c r="K4" s="21"/>
      <c r="L4" s="21"/>
      <c r="M4" s="21"/>
      <c r="N4" s="21"/>
      <c r="O4" s="21"/>
    </row>
    <row r="5" spans="1:28" s="1" customFormat="1" ht="15" customHeight="1">
      <c r="A5" s="23" t="str">
        <f>HYPERLINK("https://infra-m.ru", "https://infra-m.ru")</f>
        <v>https://infra-m.ru</v>
      </c>
      <c r="B5" s="22"/>
      <c r="C5" s="22"/>
      <c r="D5" s="22"/>
      <c r="E5" s="22"/>
      <c r="F5" s="17"/>
      <c r="G5" s="17"/>
      <c r="H5" s="17"/>
      <c r="I5" s="17"/>
      <c r="J5" s="21"/>
      <c r="K5" s="21"/>
      <c r="L5" s="21"/>
      <c r="M5" s="21"/>
      <c r="N5" s="21"/>
      <c r="O5" s="21"/>
    </row>
    <row r="6" spans="1:28" s="1" customFormat="1" ht="11.1" customHeight="1"/>
    <row r="7" spans="1:28" s="2" customFormat="1" ht="21.95" customHeight="1">
      <c r="A7" s="3" t="s">
        <v>6</v>
      </c>
      <c r="B7" s="3" t="s">
        <v>7</v>
      </c>
      <c r="C7" s="3" t="s">
        <v>8</v>
      </c>
      <c r="D7" s="3" t="s">
        <v>9</v>
      </c>
      <c r="E7" s="3" t="s">
        <v>10</v>
      </c>
      <c r="F7" s="3" t="s">
        <v>11</v>
      </c>
      <c r="G7" s="3" t="s">
        <v>12</v>
      </c>
      <c r="H7" s="3" t="s">
        <v>13</v>
      </c>
      <c r="I7" s="3" t="s">
        <v>14</v>
      </c>
      <c r="J7" s="3" t="s">
        <v>15</v>
      </c>
      <c r="K7" s="3" t="s">
        <v>16</v>
      </c>
      <c r="L7" s="3" t="s">
        <v>17</v>
      </c>
      <c r="M7" s="3" t="s">
        <v>18</v>
      </c>
      <c r="N7" s="3" t="s">
        <v>19</v>
      </c>
      <c r="O7" s="3" t="s">
        <v>20</v>
      </c>
      <c r="P7" s="3" t="s">
        <v>21</v>
      </c>
      <c r="Q7" s="3" t="s">
        <v>22</v>
      </c>
      <c r="R7" s="3" t="s">
        <v>23</v>
      </c>
      <c r="S7" s="3" t="s">
        <v>24</v>
      </c>
      <c r="T7" s="3" t="s">
        <v>25</v>
      </c>
      <c r="U7" s="3" t="s">
        <v>26</v>
      </c>
      <c r="V7" s="3" t="s">
        <v>27</v>
      </c>
      <c r="W7" s="3" t="s">
        <v>28</v>
      </c>
      <c r="X7" s="3" t="s">
        <v>29</v>
      </c>
      <c r="Y7" s="3" t="s">
        <v>30</v>
      </c>
      <c r="Z7" s="3" t="s">
        <v>31</v>
      </c>
      <c r="AA7" s="3" t="s">
        <v>32</v>
      </c>
      <c r="AB7" s="3" t="s">
        <v>33</v>
      </c>
    </row>
    <row r="8" spans="1:28" s="4" customFormat="1" ht="42" customHeight="1">
      <c r="A8" s="5">
        <v>0</v>
      </c>
      <c r="B8" s="6" t="s">
        <v>34</v>
      </c>
      <c r="C8" s="7">
        <v>1432.8</v>
      </c>
      <c r="D8" s="8" t="s">
        <v>35</v>
      </c>
      <c r="E8" s="8" t="s">
        <v>36</v>
      </c>
      <c r="F8" s="8" t="s">
        <v>37</v>
      </c>
      <c r="G8" s="6" t="s">
        <v>38</v>
      </c>
      <c r="H8" s="6" t="s">
        <v>39</v>
      </c>
      <c r="I8" s="8" t="s">
        <v>40</v>
      </c>
      <c r="J8" s="9">
        <v>1</v>
      </c>
      <c r="K8" s="9">
        <v>229</v>
      </c>
      <c r="L8" s="9">
        <v>2026</v>
      </c>
      <c r="M8" s="8" t="s">
        <v>41</v>
      </c>
      <c r="N8" s="8" t="s">
        <v>42</v>
      </c>
      <c r="O8" s="8" t="s">
        <v>43</v>
      </c>
      <c r="P8" s="6" t="s">
        <v>44</v>
      </c>
      <c r="Q8" s="8" t="s">
        <v>45</v>
      </c>
      <c r="R8" s="10" t="s">
        <v>46</v>
      </c>
      <c r="S8" s="11"/>
      <c r="T8" s="6"/>
      <c r="U8" s="24" t="str">
        <f>HYPERLINK("https://media.infra-m.ru/2213/2213639/cover/2213639.jpg", "Обложка")</f>
        <v>Обложка</v>
      </c>
      <c r="V8" s="24" t="str">
        <f>HYPERLINK("https://znanium.ru/catalog/product/2131556", "Ознакомиться")</f>
        <v>Ознакомиться</v>
      </c>
      <c r="W8" s="8" t="s">
        <v>47</v>
      </c>
      <c r="X8" s="6"/>
      <c r="Y8" s="6"/>
      <c r="Z8" s="6"/>
      <c r="AA8" s="6" t="s">
        <v>48</v>
      </c>
      <c r="AB8" s="8" t="s">
        <v>49</v>
      </c>
    </row>
    <row r="9" spans="1:28" s="4" customFormat="1" ht="42" customHeight="1">
      <c r="A9" s="5">
        <v>0</v>
      </c>
      <c r="B9" s="6" t="s">
        <v>50</v>
      </c>
      <c r="C9" s="13">
        <v>696</v>
      </c>
      <c r="D9" s="8" t="s">
        <v>51</v>
      </c>
      <c r="E9" s="8" t="s">
        <v>52</v>
      </c>
      <c r="F9" s="8" t="s">
        <v>53</v>
      </c>
      <c r="G9" s="6" t="s">
        <v>38</v>
      </c>
      <c r="H9" s="6" t="s">
        <v>39</v>
      </c>
      <c r="I9" s="8" t="s">
        <v>40</v>
      </c>
      <c r="J9" s="9">
        <v>1</v>
      </c>
      <c r="K9" s="9">
        <v>156</v>
      </c>
      <c r="L9" s="9">
        <v>2021</v>
      </c>
      <c r="M9" s="8" t="s">
        <v>54</v>
      </c>
      <c r="N9" s="8" t="s">
        <v>42</v>
      </c>
      <c r="O9" s="8" t="s">
        <v>43</v>
      </c>
      <c r="P9" s="6" t="s">
        <v>44</v>
      </c>
      <c r="Q9" s="8" t="s">
        <v>45</v>
      </c>
      <c r="R9" s="10" t="s">
        <v>55</v>
      </c>
      <c r="S9" s="11"/>
      <c r="T9" s="6"/>
      <c r="U9" s="24" t="str">
        <f>HYPERLINK("https://media.infra-m.ru/1253/1253469/cover/1253469.jpg", "Обложка")</f>
        <v>Обложка</v>
      </c>
      <c r="V9" s="24" t="str">
        <f>HYPERLINK("https://znanium.ru/catalog/product/1253469", "Ознакомиться")</f>
        <v>Ознакомиться</v>
      </c>
      <c r="W9" s="8" t="s">
        <v>56</v>
      </c>
      <c r="X9" s="6"/>
      <c r="Y9" s="6"/>
      <c r="Z9" s="6"/>
      <c r="AA9" s="6" t="s">
        <v>57</v>
      </c>
      <c r="AB9" s="8"/>
    </row>
    <row r="10" spans="1:28" s="4" customFormat="1" ht="51.95" customHeight="1">
      <c r="A10" s="5">
        <v>0</v>
      </c>
      <c r="B10" s="6" t="s">
        <v>58</v>
      </c>
      <c r="C10" s="7">
        <v>2056.8000000000002</v>
      </c>
      <c r="D10" s="8" t="s">
        <v>59</v>
      </c>
      <c r="E10" s="8" t="s">
        <v>60</v>
      </c>
      <c r="F10" s="8" t="s">
        <v>61</v>
      </c>
      <c r="G10" s="6" t="s">
        <v>62</v>
      </c>
      <c r="H10" s="6" t="s">
        <v>39</v>
      </c>
      <c r="I10" s="8" t="s">
        <v>63</v>
      </c>
      <c r="J10" s="9">
        <v>1</v>
      </c>
      <c r="K10" s="9">
        <v>311</v>
      </c>
      <c r="L10" s="9">
        <v>2026</v>
      </c>
      <c r="M10" s="8" t="s">
        <v>64</v>
      </c>
      <c r="N10" s="8" t="s">
        <v>42</v>
      </c>
      <c r="O10" s="8" t="s">
        <v>43</v>
      </c>
      <c r="P10" s="6" t="s">
        <v>44</v>
      </c>
      <c r="Q10" s="8" t="s">
        <v>45</v>
      </c>
      <c r="R10" s="10" t="s">
        <v>65</v>
      </c>
      <c r="S10" s="11"/>
      <c r="T10" s="6"/>
      <c r="U10" s="24" t="str">
        <f>HYPERLINK("https://media.infra-m.ru/2218/2218065/cover/2218065.jpg", "Обложка")</f>
        <v>Обложка</v>
      </c>
      <c r="V10" s="24" t="str">
        <f>HYPERLINK("https://znanium.ru/catalog/product/2021467", "Ознакомиться")</f>
        <v>Ознакомиться</v>
      </c>
      <c r="W10" s="8" t="s">
        <v>66</v>
      </c>
      <c r="X10" s="6"/>
      <c r="Y10" s="6"/>
      <c r="Z10" s="6"/>
      <c r="AA10" s="6" t="s">
        <v>57</v>
      </c>
      <c r="AB10" s="8"/>
    </row>
    <row r="11" spans="1:28" s="4" customFormat="1" ht="51.95" customHeight="1">
      <c r="A11" s="5">
        <v>0</v>
      </c>
      <c r="B11" s="6" t="s">
        <v>67</v>
      </c>
      <c r="C11" s="7">
        <v>2296.8000000000002</v>
      </c>
      <c r="D11" s="8" t="s">
        <v>68</v>
      </c>
      <c r="E11" s="8" t="s">
        <v>69</v>
      </c>
      <c r="F11" s="8" t="s">
        <v>70</v>
      </c>
      <c r="G11" s="6" t="s">
        <v>62</v>
      </c>
      <c r="H11" s="6" t="s">
        <v>39</v>
      </c>
      <c r="I11" s="8" t="s">
        <v>40</v>
      </c>
      <c r="J11" s="9">
        <v>1</v>
      </c>
      <c r="K11" s="9">
        <v>382</v>
      </c>
      <c r="L11" s="9">
        <v>2025</v>
      </c>
      <c r="M11" s="8" t="s">
        <v>71</v>
      </c>
      <c r="N11" s="8" t="s">
        <v>42</v>
      </c>
      <c r="O11" s="8" t="s">
        <v>72</v>
      </c>
      <c r="P11" s="6" t="s">
        <v>44</v>
      </c>
      <c r="Q11" s="8" t="s">
        <v>45</v>
      </c>
      <c r="R11" s="10" t="s">
        <v>73</v>
      </c>
      <c r="S11" s="11"/>
      <c r="T11" s="6"/>
      <c r="U11" s="24" t="str">
        <f>HYPERLINK("https://media.infra-m.ru/2163/2163987/cover/2163987.jpg", "Обложка")</f>
        <v>Обложка</v>
      </c>
      <c r="V11" s="24" t="str">
        <f>HYPERLINK("https://znanium.ru/catalog/product/1859800", "Ознакомиться")</f>
        <v>Ознакомиться</v>
      </c>
      <c r="W11" s="8" t="s">
        <v>74</v>
      </c>
      <c r="X11" s="6"/>
      <c r="Y11" s="6"/>
      <c r="Z11" s="6"/>
      <c r="AA11" s="6" t="s">
        <v>75</v>
      </c>
      <c r="AB11" s="8"/>
    </row>
    <row r="12" spans="1:28" s="4" customFormat="1" ht="44.1" customHeight="1">
      <c r="A12" s="5">
        <v>0</v>
      </c>
      <c r="B12" s="6" t="s">
        <v>76</v>
      </c>
      <c r="C12" s="7">
        <v>1464</v>
      </c>
      <c r="D12" s="8" t="s">
        <v>77</v>
      </c>
      <c r="E12" s="8" t="s">
        <v>78</v>
      </c>
      <c r="F12" s="8" t="s">
        <v>79</v>
      </c>
      <c r="G12" s="6" t="s">
        <v>38</v>
      </c>
      <c r="H12" s="6" t="s">
        <v>39</v>
      </c>
      <c r="I12" s="8" t="s">
        <v>40</v>
      </c>
      <c r="J12" s="9">
        <v>1</v>
      </c>
      <c r="K12" s="9">
        <v>235</v>
      </c>
      <c r="L12" s="9">
        <v>2026</v>
      </c>
      <c r="M12" s="8" t="s">
        <v>80</v>
      </c>
      <c r="N12" s="8" t="s">
        <v>42</v>
      </c>
      <c r="O12" s="8" t="s">
        <v>43</v>
      </c>
      <c r="P12" s="6" t="s">
        <v>44</v>
      </c>
      <c r="Q12" s="8" t="s">
        <v>45</v>
      </c>
      <c r="R12" s="10" t="s">
        <v>81</v>
      </c>
      <c r="S12" s="11"/>
      <c r="T12" s="6"/>
      <c r="U12" s="24" t="str">
        <f>HYPERLINK("https://media.infra-m.ru/2199/2199964/cover/2199964.jpg", "Обложка")</f>
        <v>Обложка</v>
      </c>
      <c r="V12" s="24" t="str">
        <f>HYPERLINK("https://znanium.ru/catalog/product/2199964", "Ознакомиться")</f>
        <v>Ознакомиться</v>
      </c>
      <c r="W12" s="8" t="s">
        <v>82</v>
      </c>
      <c r="X12" s="6"/>
      <c r="Y12" s="6"/>
      <c r="Z12" s="6"/>
      <c r="AA12" s="6" t="s">
        <v>83</v>
      </c>
      <c r="AB12" s="8"/>
    </row>
    <row r="13" spans="1:28" s="4" customFormat="1" ht="42" customHeight="1">
      <c r="A13" s="5">
        <v>0</v>
      </c>
      <c r="B13" s="6" t="s">
        <v>84</v>
      </c>
      <c r="C13" s="7">
        <v>2136</v>
      </c>
      <c r="D13" s="8" t="s">
        <v>85</v>
      </c>
      <c r="E13" s="8" t="s">
        <v>86</v>
      </c>
      <c r="F13" s="8" t="s">
        <v>87</v>
      </c>
      <c r="G13" s="6" t="s">
        <v>38</v>
      </c>
      <c r="H13" s="6" t="s">
        <v>39</v>
      </c>
      <c r="I13" s="8" t="s">
        <v>40</v>
      </c>
      <c r="J13" s="9">
        <v>1</v>
      </c>
      <c r="K13" s="9">
        <v>342</v>
      </c>
      <c r="L13" s="9">
        <v>2025</v>
      </c>
      <c r="M13" s="8" t="s">
        <v>88</v>
      </c>
      <c r="N13" s="8" t="s">
        <v>42</v>
      </c>
      <c r="O13" s="8" t="s">
        <v>89</v>
      </c>
      <c r="P13" s="6" t="s">
        <v>44</v>
      </c>
      <c r="Q13" s="8" t="s">
        <v>45</v>
      </c>
      <c r="R13" s="10" t="s">
        <v>90</v>
      </c>
      <c r="S13" s="11"/>
      <c r="T13" s="6"/>
      <c r="U13" s="24" t="str">
        <f>HYPERLINK("https://media.infra-m.ru/2214/2214244/cover/2214244.jpg", "Обложка")</f>
        <v>Обложка</v>
      </c>
      <c r="V13" s="24" t="str">
        <f>HYPERLINK("https://znanium.ru/catalog/product/2214244", "Ознакомиться")</f>
        <v>Ознакомиться</v>
      </c>
      <c r="W13" s="8" t="s">
        <v>56</v>
      </c>
      <c r="X13" s="6"/>
      <c r="Y13" s="6"/>
      <c r="Z13" s="6"/>
      <c r="AA13" s="6" t="s">
        <v>91</v>
      </c>
      <c r="AB13" s="8"/>
    </row>
    <row r="14" spans="1:28" s="4" customFormat="1" ht="51.95" customHeight="1">
      <c r="A14" s="5">
        <v>0</v>
      </c>
      <c r="B14" s="6" t="s">
        <v>92</v>
      </c>
      <c r="C14" s="7">
        <v>1188</v>
      </c>
      <c r="D14" s="8" t="s">
        <v>93</v>
      </c>
      <c r="E14" s="8" t="s">
        <v>94</v>
      </c>
      <c r="F14" s="8" t="s">
        <v>95</v>
      </c>
      <c r="G14" s="6" t="s">
        <v>96</v>
      </c>
      <c r="H14" s="6" t="s">
        <v>39</v>
      </c>
      <c r="I14" s="8" t="s">
        <v>40</v>
      </c>
      <c r="J14" s="9">
        <v>1</v>
      </c>
      <c r="K14" s="9">
        <v>237</v>
      </c>
      <c r="L14" s="9">
        <v>2022</v>
      </c>
      <c r="M14" s="8" t="s">
        <v>97</v>
      </c>
      <c r="N14" s="8" t="s">
        <v>42</v>
      </c>
      <c r="O14" s="8" t="s">
        <v>72</v>
      </c>
      <c r="P14" s="6" t="s">
        <v>44</v>
      </c>
      <c r="Q14" s="8" t="s">
        <v>45</v>
      </c>
      <c r="R14" s="10" t="s">
        <v>98</v>
      </c>
      <c r="S14" s="11"/>
      <c r="T14" s="6"/>
      <c r="U14" s="24" t="str">
        <f>HYPERLINK("https://media.infra-m.ru/1818/1818427/cover/1818427.jpg", "Обложка")</f>
        <v>Обложка</v>
      </c>
      <c r="V14" s="24" t="str">
        <f>HYPERLINK("https://znanium.ru/catalog/product/1818427", "Ознакомиться")</f>
        <v>Ознакомиться</v>
      </c>
      <c r="W14" s="8" t="s">
        <v>74</v>
      </c>
      <c r="X14" s="6"/>
      <c r="Y14" s="6"/>
      <c r="Z14" s="6"/>
      <c r="AA14" s="6" t="s">
        <v>83</v>
      </c>
      <c r="AB14" s="8"/>
    </row>
    <row r="15" spans="1:28" s="4" customFormat="1" ht="42" customHeight="1">
      <c r="A15" s="5">
        <v>0</v>
      </c>
      <c r="B15" s="6" t="s">
        <v>99</v>
      </c>
      <c r="C15" s="7">
        <v>1296</v>
      </c>
      <c r="D15" s="8" t="s">
        <v>100</v>
      </c>
      <c r="E15" s="8" t="s">
        <v>101</v>
      </c>
      <c r="F15" s="8" t="s">
        <v>102</v>
      </c>
      <c r="G15" s="6" t="s">
        <v>62</v>
      </c>
      <c r="H15" s="6" t="s">
        <v>39</v>
      </c>
      <c r="I15" s="8" t="s">
        <v>40</v>
      </c>
      <c r="J15" s="9">
        <v>1</v>
      </c>
      <c r="K15" s="9">
        <v>195</v>
      </c>
      <c r="L15" s="9">
        <v>2026</v>
      </c>
      <c r="M15" s="8" t="s">
        <v>103</v>
      </c>
      <c r="N15" s="8" t="s">
        <v>42</v>
      </c>
      <c r="O15" s="8" t="s">
        <v>104</v>
      </c>
      <c r="P15" s="6" t="s">
        <v>44</v>
      </c>
      <c r="Q15" s="8" t="s">
        <v>45</v>
      </c>
      <c r="R15" s="10" t="s">
        <v>105</v>
      </c>
      <c r="S15" s="11"/>
      <c r="T15" s="6"/>
      <c r="U15" s="24" t="str">
        <f>HYPERLINK("https://media.infra-m.ru/2231/2231267/cover/2231267.jpg", "Обложка")</f>
        <v>Обложка</v>
      </c>
      <c r="V15" s="24" t="str">
        <f>HYPERLINK("https://znanium.ru/catalog/product/2231267", "Ознакомиться")</f>
        <v>Ознакомиться</v>
      </c>
      <c r="W15" s="8" t="s">
        <v>106</v>
      </c>
      <c r="X15" s="6"/>
      <c r="Y15" s="6"/>
      <c r="Z15" s="6"/>
      <c r="AA15" s="6" t="s">
        <v>48</v>
      </c>
      <c r="AB15" s="8"/>
    </row>
    <row r="16" spans="1:28" s="4" customFormat="1" ht="44.1" customHeight="1">
      <c r="A16" s="5">
        <v>0</v>
      </c>
      <c r="B16" s="6" t="s">
        <v>107</v>
      </c>
      <c r="C16" s="7">
        <v>1536</v>
      </c>
      <c r="D16" s="8" t="s">
        <v>108</v>
      </c>
      <c r="E16" s="8" t="s">
        <v>109</v>
      </c>
      <c r="F16" s="8" t="s">
        <v>110</v>
      </c>
      <c r="G16" s="6" t="s">
        <v>38</v>
      </c>
      <c r="H16" s="6" t="s">
        <v>39</v>
      </c>
      <c r="I16" s="8" t="s">
        <v>40</v>
      </c>
      <c r="J16" s="9">
        <v>1</v>
      </c>
      <c r="K16" s="9">
        <v>270</v>
      </c>
      <c r="L16" s="9">
        <v>2024</v>
      </c>
      <c r="M16" s="8" t="s">
        <v>111</v>
      </c>
      <c r="N16" s="8" t="s">
        <v>42</v>
      </c>
      <c r="O16" s="8" t="s">
        <v>43</v>
      </c>
      <c r="P16" s="6" t="s">
        <v>44</v>
      </c>
      <c r="Q16" s="8" t="s">
        <v>45</v>
      </c>
      <c r="R16" s="10" t="s">
        <v>112</v>
      </c>
      <c r="S16" s="11"/>
      <c r="T16" s="6"/>
      <c r="U16" s="24" t="str">
        <f>HYPERLINK("https://media.infra-m.ru/2144/2144239/cover/2144239.jpg", "Обложка")</f>
        <v>Обложка</v>
      </c>
      <c r="V16" s="24" t="str">
        <f>HYPERLINK("https://znanium.ru/catalog/product/2144239", "Ознакомиться")</f>
        <v>Ознакомиться</v>
      </c>
      <c r="W16" s="8" t="s">
        <v>113</v>
      </c>
      <c r="X16" s="6"/>
      <c r="Y16" s="6"/>
      <c r="Z16" s="6"/>
      <c r="AA16" s="6" t="s">
        <v>57</v>
      </c>
      <c r="AB16" s="8"/>
    </row>
    <row r="17" spans="1:28" s="4" customFormat="1" ht="42" customHeight="1">
      <c r="A17" s="5">
        <v>0</v>
      </c>
      <c r="B17" s="6" t="s">
        <v>114</v>
      </c>
      <c r="C17" s="7">
        <v>2026.2</v>
      </c>
      <c r="D17" s="8" t="s">
        <v>115</v>
      </c>
      <c r="E17" s="8" t="s">
        <v>116</v>
      </c>
      <c r="F17" s="8" t="s">
        <v>117</v>
      </c>
      <c r="G17" s="6" t="s">
        <v>38</v>
      </c>
      <c r="H17" s="6" t="s">
        <v>118</v>
      </c>
      <c r="I17" s="8"/>
      <c r="J17" s="9">
        <v>20</v>
      </c>
      <c r="K17" s="9">
        <v>122</v>
      </c>
      <c r="L17" s="9">
        <v>2017</v>
      </c>
      <c r="M17" s="8"/>
      <c r="N17" s="8" t="s">
        <v>119</v>
      </c>
      <c r="O17" s="8" t="s">
        <v>120</v>
      </c>
      <c r="P17" s="6" t="s">
        <v>121</v>
      </c>
      <c r="Q17" s="8" t="s">
        <v>45</v>
      </c>
      <c r="R17" s="10"/>
      <c r="S17" s="11"/>
      <c r="T17" s="6"/>
      <c r="U17" s="24" t="str">
        <f>HYPERLINK("https://media.infra-m.ru/0882/0882724/cover/882724.jpg", "Обложка")</f>
        <v>Обложка</v>
      </c>
      <c r="V17" s="24" t="str">
        <f>HYPERLINK("https://znanium.ru/catalog/product/882724", "Ознакомиться")</f>
        <v>Ознакомиться</v>
      </c>
      <c r="W17" s="8"/>
      <c r="X17" s="6"/>
      <c r="Y17" s="6"/>
      <c r="Z17" s="6"/>
      <c r="AA17" s="6"/>
      <c r="AB17" s="8"/>
    </row>
    <row r="18" spans="1:28" s="4" customFormat="1" ht="42" customHeight="1">
      <c r="A18" s="5">
        <v>0</v>
      </c>
      <c r="B18" s="6" t="s">
        <v>122</v>
      </c>
      <c r="C18" s="7">
        <v>1788</v>
      </c>
      <c r="D18" s="8" t="s">
        <v>123</v>
      </c>
      <c r="E18" s="8" t="s">
        <v>124</v>
      </c>
      <c r="F18" s="8" t="s">
        <v>125</v>
      </c>
      <c r="G18" s="6" t="s">
        <v>96</v>
      </c>
      <c r="H18" s="6" t="s">
        <v>39</v>
      </c>
      <c r="I18" s="8" t="s">
        <v>40</v>
      </c>
      <c r="J18" s="9">
        <v>1</v>
      </c>
      <c r="K18" s="9">
        <v>401</v>
      </c>
      <c r="L18" s="9">
        <v>2021</v>
      </c>
      <c r="M18" s="8" t="s">
        <v>126</v>
      </c>
      <c r="N18" s="8" t="s">
        <v>42</v>
      </c>
      <c r="O18" s="8" t="s">
        <v>72</v>
      </c>
      <c r="P18" s="6" t="s">
        <v>44</v>
      </c>
      <c r="Q18" s="8" t="s">
        <v>45</v>
      </c>
      <c r="R18" s="10" t="s">
        <v>127</v>
      </c>
      <c r="S18" s="11"/>
      <c r="T18" s="6"/>
      <c r="U18" s="24" t="str">
        <f>HYPERLINK("https://media.infra-m.ru/1064/1064931/cover/1064931.jpg", "Обложка")</f>
        <v>Обложка</v>
      </c>
      <c r="V18" s="24" t="str">
        <f>HYPERLINK("https://znanium.ru/catalog/product/1064931", "Ознакомиться")</f>
        <v>Ознакомиться</v>
      </c>
      <c r="W18" s="8" t="s">
        <v>128</v>
      </c>
      <c r="X18" s="6"/>
      <c r="Y18" s="6"/>
      <c r="Z18" s="6"/>
      <c r="AA18" s="6" t="s">
        <v>129</v>
      </c>
      <c r="AB18" s="8" t="s">
        <v>130</v>
      </c>
    </row>
    <row r="19" spans="1:28" s="4" customFormat="1" ht="42" customHeight="1">
      <c r="A19" s="5">
        <v>0</v>
      </c>
      <c r="B19" s="6" t="s">
        <v>131</v>
      </c>
      <c r="C19" s="7">
        <v>1133.9000000000001</v>
      </c>
      <c r="D19" s="8" t="s">
        <v>132</v>
      </c>
      <c r="E19" s="8" t="s">
        <v>133</v>
      </c>
      <c r="F19" s="8" t="s">
        <v>134</v>
      </c>
      <c r="G19" s="6" t="s">
        <v>96</v>
      </c>
      <c r="H19" s="6" t="s">
        <v>39</v>
      </c>
      <c r="I19" s="8" t="s">
        <v>40</v>
      </c>
      <c r="J19" s="9">
        <v>1</v>
      </c>
      <c r="K19" s="9">
        <v>242</v>
      </c>
      <c r="L19" s="9">
        <v>2022</v>
      </c>
      <c r="M19" s="8" t="s">
        <v>135</v>
      </c>
      <c r="N19" s="8" t="s">
        <v>42</v>
      </c>
      <c r="O19" s="8" t="s">
        <v>72</v>
      </c>
      <c r="P19" s="6" t="s">
        <v>44</v>
      </c>
      <c r="Q19" s="8" t="s">
        <v>45</v>
      </c>
      <c r="R19" s="10" t="s">
        <v>136</v>
      </c>
      <c r="S19" s="11"/>
      <c r="T19" s="6"/>
      <c r="U19" s="24" t="str">
        <f>HYPERLINK("https://media.infra-m.ru/1859/1859837/cover/1859837.jpg", "Обложка")</f>
        <v>Обложка</v>
      </c>
      <c r="V19" s="24" t="str">
        <f>HYPERLINK("https://znanium.ru/catalog/product/1859837", "Ознакомиться")</f>
        <v>Ознакомиться</v>
      </c>
      <c r="W19" s="8" t="s">
        <v>137</v>
      </c>
      <c r="X19" s="6"/>
      <c r="Y19" s="6"/>
      <c r="Z19" s="6"/>
      <c r="AA19" s="6" t="s">
        <v>138</v>
      </c>
      <c r="AB19" s="8"/>
    </row>
    <row r="20" spans="1:28" s="4" customFormat="1" ht="42" customHeight="1">
      <c r="A20" s="5">
        <v>0</v>
      </c>
      <c r="B20" s="6" t="s">
        <v>139</v>
      </c>
      <c r="C20" s="13">
        <v>665.9</v>
      </c>
      <c r="D20" s="8" t="s">
        <v>140</v>
      </c>
      <c r="E20" s="8" t="s">
        <v>141</v>
      </c>
      <c r="F20" s="8" t="s">
        <v>142</v>
      </c>
      <c r="G20" s="6" t="s">
        <v>38</v>
      </c>
      <c r="H20" s="6" t="s">
        <v>39</v>
      </c>
      <c r="I20" s="8" t="s">
        <v>63</v>
      </c>
      <c r="J20" s="9">
        <v>1</v>
      </c>
      <c r="K20" s="9">
        <v>143</v>
      </c>
      <c r="L20" s="9">
        <v>2022</v>
      </c>
      <c r="M20" s="8" t="s">
        <v>143</v>
      </c>
      <c r="N20" s="8" t="s">
        <v>144</v>
      </c>
      <c r="O20" s="8" t="s">
        <v>145</v>
      </c>
      <c r="P20" s="6" t="s">
        <v>44</v>
      </c>
      <c r="Q20" s="8" t="s">
        <v>45</v>
      </c>
      <c r="R20" s="10" t="s">
        <v>146</v>
      </c>
      <c r="S20" s="11"/>
      <c r="T20" s="6"/>
      <c r="U20" s="24" t="str">
        <f>HYPERLINK("https://media.infra-m.ru/1855/1855988/cover/1855988.jpg", "Обложка")</f>
        <v>Обложка</v>
      </c>
      <c r="V20" s="24" t="str">
        <f>HYPERLINK("https://znanium.ru/catalog/product/1855988", "Ознакомиться")</f>
        <v>Ознакомиться</v>
      </c>
      <c r="W20" s="8" t="s">
        <v>147</v>
      </c>
      <c r="X20" s="6"/>
      <c r="Y20" s="6"/>
      <c r="Z20" s="6"/>
      <c r="AA20" s="6" t="s">
        <v>57</v>
      </c>
      <c r="AB20" s="8"/>
    </row>
    <row r="21" spans="1:28" s="4" customFormat="1" ht="42" customHeight="1">
      <c r="A21" s="5">
        <v>0</v>
      </c>
      <c r="B21" s="6" t="s">
        <v>148</v>
      </c>
      <c r="C21" s="13">
        <v>633.6</v>
      </c>
      <c r="D21" s="8" t="s">
        <v>149</v>
      </c>
      <c r="E21" s="8" t="s">
        <v>150</v>
      </c>
      <c r="F21" s="8" t="s">
        <v>151</v>
      </c>
      <c r="G21" s="6" t="s">
        <v>38</v>
      </c>
      <c r="H21" s="6" t="s">
        <v>39</v>
      </c>
      <c r="I21" s="8" t="s">
        <v>152</v>
      </c>
      <c r="J21" s="9">
        <v>1</v>
      </c>
      <c r="K21" s="9">
        <v>97</v>
      </c>
      <c r="L21" s="9">
        <v>2025</v>
      </c>
      <c r="M21" s="8" t="s">
        <v>153</v>
      </c>
      <c r="N21" s="8" t="s">
        <v>42</v>
      </c>
      <c r="O21" s="8" t="s">
        <v>43</v>
      </c>
      <c r="P21" s="6" t="s">
        <v>154</v>
      </c>
      <c r="Q21" s="8" t="s">
        <v>45</v>
      </c>
      <c r="R21" s="10" t="s">
        <v>155</v>
      </c>
      <c r="S21" s="11"/>
      <c r="T21" s="6"/>
      <c r="U21" s="24" t="str">
        <f>HYPERLINK("https://media.infra-m.ru/2191/2191601/cover/2191601.jpg", "Обложка")</f>
        <v>Обложка</v>
      </c>
      <c r="V21" s="24" t="str">
        <f>HYPERLINK("https://znanium.ru/catalog/product/1891780", "Ознакомиться")</f>
        <v>Ознакомиться</v>
      </c>
      <c r="W21" s="8" t="s">
        <v>156</v>
      </c>
      <c r="X21" s="6"/>
      <c r="Y21" s="6"/>
      <c r="Z21" s="6"/>
      <c r="AA21" s="6" t="s">
        <v>157</v>
      </c>
      <c r="AB21" s="8"/>
    </row>
    <row r="22" spans="1:28" s="4" customFormat="1" ht="42" customHeight="1">
      <c r="A22" s="5">
        <v>0</v>
      </c>
      <c r="B22" s="6" t="s">
        <v>158</v>
      </c>
      <c r="C22" s="7">
        <v>2026.2</v>
      </c>
      <c r="D22" s="8" t="s">
        <v>159</v>
      </c>
      <c r="E22" s="8" t="s">
        <v>160</v>
      </c>
      <c r="F22" s="8" t="s">
        <v>161</v>
      </c>
      <c r="G22" s="6" t="s">
        <v>38</v>
      </c>
      <c r="H22" s="6" t="s">
        <v>118</v>
      </c>
      <c r="I22" s="8"/>
      <c r="J22" s="9">
        <v>1</v>
      </c>
      <c r="K22" s="9">
        <v>174</v>
      </c>
      <c r="L22" s="9">
        <v>2017</v>
      </c>
      <c r="M22" s="8"/>
      <c r="N22" s="8" t="s">
        <v>119</v>
      </c>
      <c r="O22" s="8" t="s">
        <v>162</v>
      </c>
      <c r="P22" s="6" t="s">
        <v>121</v>
      </c>
      <c r="Q22" s="8" t="s">
        <v>45</v>
      </c>
      <c r="R22" s="10"/>
      <c r="S22" s="11"/>
      <c r="T22" s="6"/>
      <c r="U22" s="24" t="str">
        <f>HYPERLINK("https://media.infra-m.ru/0882/0882728/cover/882728.jpg", "Обложка")</f>
        <v>Обложка</v>
      </c>
      <c r="V22" s="24" t="str">
        <f>HYPERLINK("https://znanium.ru/catalog/product/882728", "Ознакомиться")</f>
        <v>Ознакомиться</v>
      </c>
      <c r="W22" s="8"/>
      <c r="X22" s="6"/>
      <c r="Y22" s="6"/>
      <c r="Z22" s="6"/>
      <c r="AA22" s="6"/>
      <c r="AB22" s="8"/>
    </row>
    <row r="23" spans="1:28" s="4" customFormat="1" ht="42" customHeight="1">
      <c r="A23" s="5">
        <v>0</v>
      </c>
      <c r="B23" s="6" t="s">
        <v>163</v>
      </c>
      <c r="C23" s="13">
        <v>996</v>
      </c>
      <c r="D23" s="8" t="s">
        <v>164</v>
      </c>
      <c r="E23" s="8" t="s">
        <v>165</v>
      </c>
      <c r="F23" s="8" t="s">
        <v>166</v>
      </c>
      <c r="G23" s="6" t="s">
        <v>62</v>
      </c>
      <c r="H23" s="6" t="s">
        <v>167</v>
      </c>
      <c r="I23" s="8"/>
      <c r="J23" s="9">
        <v>1</v>
      </c>
      <c r="K23" s="9">
        <v>216</v>
      </c>
      <c r="L23" s="9">
        <v>2022</v>
      </c>
      <c r="M23" s="8" t="s">
        <v>168</v>
      </c>
      <c r="N23" s="8" t="s">
        <v>119</v>
      </c>
      <c r="O23" s="8" t="s">
        <v>120</v>
      </c>
      <c r="P23" s="6" t="s">
        <v>169</v>
      </c>
      <c r="Q23" s="8" t="s">
        <v>45</v>
      </c>
      <c r="R23" s="10" t="s">
        <v>170</v>
      </c>
      <c r="S23" s="11"/>
      <c r="T23" s="6"/>
      <c r="U23" s="24" t="str">
        <f>HYPERLINK("https://media.infra-m.ru/1854/1854467/cover/1854467.jpg", "Обложка")</f>
        <v>Обложка</v>
      </c>
      <c r="V23" s="24" t="str">
        <f>HYPERLINK("https://znanium.ru/catalog/product/1302346", "Ознакомиться")</f>
        <v>Ознакомиться</v>
      </c>
      <c r="W23" s="8"/>
      <c r="X23" s="6"/>
      <c r="Y23" s="6"/>
      <c r="Z23" s="6"/>
      <c r="AA23" s="6" t="s">
        <v>129</v>
      </c>
      <c r="AB23" s="8"/>
    </row>
    <row r="24" spans="1:28" s="4" customFormat="1" ht="51.95" customHeight="1">
      <c r="A24" s="5">
        <v>0</v>
      </c>
      <c r="B24" s="6" t="s">
        <v>171</v>
      </c>
      <c r="C24" s="7">
        <v>1900.8</v>
      </c>
      <c r="D24" s="8" t="s">
        <v>172</v>
      </c>
      <c r="E24" s="8" t="s">
        <v>173</v>
      </c>
      <c r="F24" s="8" t="s">
        <v>174</v>
      </c>
      <c r="G24" s="6" t="s">
        <v>62</v>
      </c>
      <c r="H24" s="6" t="s">
        <v>39</v>
      </c>
      <c r="I24" s="8" t="s">
        <v>175</v>
      </c>
      <c r="J24" s="9">
        <v>1</v>
      </c>
      <c r="K24" s="9">
        <v>304</v>
      </c>
      <c r="L24" s="9">
        <v>2025</v>
      </c>
      <c r="M24" s="8" t="s">
        <v>176</v>
      </c>
      <c r="N24" s="8" t="s">
        <v>177</v>
      </c>
      <c r="O24" s="8" t="s">
        <v>178</v>
      </c>
      <c r="P24" s="6" t="s">
        <v>179</v>
      </c>
      <c r="Q24" s="8" t="s">
        <v>180</v>
      </c>
      <c r="R24" s="10" t="s">
        <v>181</v>
      </c>
      <c r="S24" s="11"/>
      <c r="T24" s="6"/>
      <c r="U24" s="24" t="str">
        <f>HYPERLINK("https://media.infra-m.ru/2198/2198920/cover/2198920.jpg", "Обложка")</f>
        <v>Обложка</v>
      </c>
      <c r="V24" s="24" t="str">
        <f>HYPERLINK("https://znanium.ru/catalog/product/2024014", "Ознакомиться")</f>
        <v>Ознакомиться</v>
      </c>
      <c r="W24" s="8" t="s">
        <v>182</v>
      </c>
      <c r="X24" s="6"/>
      <c r="Y24" s="6"/>
      <c r="Z24" s="6"/>
      <c r="AA24" s="6" t="s">
        <v>183</v>
      </c>
      <c r="AB24" s="8"/>
    </row>
    <row r="25" spans="1:28" s="4" customFormat="1" ht="51.95" customHeight="1">
      <c r="A25" s="5">
        <v>0</v>
      </c>
      <c r="B25" s="6" t="s">
        <v>184</v>
      </c>
      <c r="C25" s="7">
        <v>2464.8000000000002</v>
      </c>
      <c r="D25" s="8" t="s">
        <v>185</v>
      </c>
      <c r="E25" s="8" t="s">
        <v>186</v>
      </c>
      <c r="F25" s="8" t="s">
        <v>187</v>
      </c>
      <c r="G25" s="6" t="s">
        <v>96</v>
      </c>
      <c r="H25" s="6" t="s">
        <v>188</v>
      </c>
      <c r="I25" s="8"/>
      <c r="J25" s="9">
        <v>1</v>
      </c>
      <c r="K25" s="9">
        <v>288</v>
      </c>
      <c r="L25" s="9">
        <v>2026</v>
      </c>
      <c r="M25" s="8" t="s">
        <v>189</v>
      </c>
      <c r="N25" s="8" t="s">
        <v>177</v>
      </c>
      <c r="O25" s="8" t="s">
        <v>190</v>
      </c>
      <c r="P25" s="6" t="s">
        <v>179</v>
      </c>
      <c r="Q25" s="8" t="s">
        <v>45</v>
      </c>
      <c r="R25" s="10" t="s">
        <v>191</v>
      </c>
      <c r="S25" s="11"/>
      <c r="T25" s="6"/>
      <c r="U25" s="24" t="str">
        <f>HYPERLINK("https://media.infra-m.ru/2225/2225124/cover/2225124.jpg", "Обложка")</f>
        <v>Обложка</v>
      </c>
      <c r="V25" s="12"/>
      <c r="W25" s="8" t="s">
        <v>192</v>
      </c>
      <c r="X25" s="6"/>
      <c r="Y25" s="6"/>
      <c r="Z25" s="6"/>
      <c r="AA25" s="6" t="s">
        <v>193</v>
      </c>
      <c r="AB25" s="8"/>
    </row>
    <row r="26" spans="1:28" s="4" customFormat="1" ht="51.95" customHeight="1">
      <c r="A26" s="5">
        <v>0</v>
      </c>
      <c r="B26" s="6" t="s">
        <v>194</v>
      </c>
      <c r="C26" s="7">
        <v>2256</v>
      </c>
      <c r="D26" s="8" t="s">
        <v>195</v>
      </c>
      <c r="E26" s="8" t="s">
        <v>196</v>
      </c>
      <c r="F26" s="8" t="s">
        <v>197</v>
      </c>
      <c r="G26" s="6" t="s">
        <v>62</v>
      </c>
      <c r="H26" s="6" t="s">
        <v>167</v>
      </c>
      <c r="I26" s="8"/>
      <c r="J26" s="9">
        <v>1</v>
      </c>
      <c r="K26" s="9">
        <v>376</v>
      </c>
      <c r="L26" s="9">
        <v>2025</v>
      </c>
      <c r="M26" s="8" t="s">
        <v>198</v>
      </c>
      <c r="N26" s="8" t="s">
        <v>119</v>
      </c>
      <c r="O26" s="8" t="s">
        <v>120</v>
      </c>
      <c r="P26" s="6" t="s">
        <v>199</v>
      </c>
      <c r="Q26" s="8" t="s">
        <v>200</v>
      </c>
      <c r="R26" s="10" t="s">
        <v>201</v>
      </c>
      <c r="S26" s="11"/>
      <c r="T26" s="6"/>
      <c r="U26" s="24" t="str">
        <f>HYPERLINK("https://media.infra-m.ru/2186/2186853/cover/2186853.jpg", "Обложка")</f>
        <v>Обложка</v>
      </c>
      <c r="V26" s="24" t="str">
        <f>HYPERLINK("https://znanium.ru/catalog/product/2174353", "Ознакомиться")</f>
        <v>Ознакомиться</v>
      </c>
      <c r="W26" s="8" t="s">
        <v>202</v>
      </c>
      <c r="X26" s="6"/>
      <c r="Y26" s="6"/>
      <c r="Z26" s="6"/>
      <c r="AA26" s="6" t="s">
        <v>203</v>
      </c>
      <c r="AB26" s="8"/>
    </row>
    <row r="27" spans="1:28" s="4" customFormat="1" ht="51.95" customHeight="1">
      <c r="A27" s="5">
        <v>0</v>
      </c>
      <c r="B27" s="6" t="s">
        <v>204</v>
      </c>
      <c r="C27" s="7">
        <v>1980</v>
      </c>
      <c r="D27" s="8" t="s">
        <v>205</v>
      </c>
      <c r="E27" s="8" t="s">
        <v>206</v>
      </c>
      <c r="F27" s="8" t="s">
        <v>197</v>
      </c>
      <c r="G27" s="6" t="s">
        <v>62</v>
      </c>
      <c r="H27" s="6" t="s">
        <v>167</v>
      </c>
      <c r="I27" s="8"/>
      <c r="J27" s="9">
        <v>1</v>
      </c>
      <c r="K27" s="9">
        <v>352</v>
      </c>
      <c r="L27" s="9">
        <v>2024</v>
      </c>
      <c r="M27" s="8" t="s">
        <v>207</v>
      </c>
      <c r="N27" s="8" t="s">
        <v>119</v>
      </c>
      <c r="O27" s="8" t="s">
        <v>120</v>
      </c>
      <c r="P27" s="6" t="s">
        <v>199</v>
      </c>
      <c r="Q27" s="8" t="s">
        <v>200</v>
      </c>
      <c r="R27" s="10" t="s">
        <v>201</v>
      </c>
      <c r="S27" s="11"/>
      <c r="T27" s="6"/>
      <c r="U27" s="24" t="str">
        <f>HYPERLINK("https://media.infra-m.ru/2113/2113851/cover/2113851.jpg", "Обложка")</f>
        <v>Обложка</v>
      </c>
      <c r="V27" s="24" t="str">
        <f>HYPERLINK("https://znanium.ru/catalog/product/2174353", "Ознакомиться")</f>
        <v>Ознакомиться</v>
      </c>
      <c r="W27" s="8" t="s">
        <v>202</v>
      </c>
      <c r="X27" s="6"/>
      <c r="Y27" s="6"/>
      <c r="Z27" s="6"/>
      <c r="AA27" s="6" t="s">
        <v>208</v>
      </c>
      <c r="AB27" s="8"/>
    </row>
    <row r="28" spans="1:28" s="4" customFormat="1" ht="51.95" customHeight="1">
      <c r="A28" s="5">
        <v>0</v>
      </c>
      <c r="B28" s="6" t="s">
        <v>209</v>
      </c>
      <c r="C28" s="7">
        <v>1524</v>
      </c>
      <c r="D28" s="8" t="s">
        <v>210</v>
      </c>
      <c r="E28" s="8" t="s">
        <v>211</v>
      </c>
      <c r="F28" s="8" t="s">
        <v>197</v>
      </c>
      <c r="G28" s="6" t="s">
        <v>62</v>
      </c>
      <c r="H28" s="6" t="s">
        <v>167</v>
      </c>
      <c r="I28" s="8"/>
      <c r="J28" s="9">
        <v>1</v>
      </c>
      <c r="K28" s="9">
        <v>352</v>
      </c>
      <c r="L28" s="9">
        <v>2021</v>
      </c>
      <c r="M28" s="8" t="s">
        <v>212</v>
      </c>
      <c r="N28" s="8" t="s">
        <v>119</v>
      </c>
      <c r="O28" s="8" t="s">
        <v>120</v>
      </c>
      <c r="P28" s="6" t="s">
        <v>199</v>
      </c>
      <c r="Q28" s="8" t="s">
        <v>200</v>
      </c>
      <c r="R28" s="10" t="s">
        <v>201</v>
      </c>
      <c r="S28" s="11"/>
      <c r="T28" s="6"/>
      <c r="U28" s="24" t="str">
        <f>HYPERLINK("https://media.infra-m.ru/1222/1222790/cover/1222790.jpg", "Обложка")</f>
        <v>Обложка</v>
      </c>
      <c r="V28" s="24" t="str">
        <f>HYPERLINK("https://znanium.ru/catalog/product/2174353", "Ознакомиться")</f>
        <v>Ознакомиться</v>
      </c>
      <c r="W28" s="8" t="s">
        <v>202</v>
      </c>
      <c r="X28" s="6"/>
      <c r="Y28" s="6"/>
      <c r="Z28" s="6"/>
      <c r="AA28" s="6" t="s">
        <v>213</v>
      </c>
      <c r="AB28" s="8"/>
    </row>
    <row r="29" spans="1:28" s="4" customFormat="1" ht="42" customHeight="1">
      <c r="A29" s="5">
        <v>0</v>
      </c>
      <c r="B29" s="6" t="s">
        <v>214</v>
      </c>
      <c r="C29" s="7">
        <v>1308</v>
      </c>
      <c r="D29" s="8" t="s">
        <v>215</v>
      </c>
      <c r="E29" s="8" t="s">
        <v>216</v>
      </c>
      <c r="F29" s="8" t="s">
        <v>217</v>
      </c>
      <c r="G29" s="6" t="s">
        <v>38</v>
      </c>
      <c r="H29" s="6" t="s">
        <v>39</v>
      </c>
      <c r="I29" s="8" t="s">
        <v>40</v>
      </c>
      <c r="J29" s="9">
        <v>1</v>
      </c>
      <c r="K29" s="9">
        <v>170</v>
      </c>
      <c r="L29" s="9">
        <v>2025</v>
      </c>
      <c r="M29" s="8" t="s">
        <v>218</v>
      </c>
      <c r="N29" s="8" t="s">
        <v>144</v>
      </c>
      <c r="O29" s="8" t="s">
        <v>145</v>
      </c>
      <c r="P29" s="6" t="s">
        <v>44</v>
      </c>
      <c r="Q29" s="8" t="s">
        <v>45</v>
      </c>
      <c r="R29" s="10" t="s">
        <v>219</v>
      </c>
      <c r="S29" s="11"/>
      <c r="T29" s="6"/>
      <c r="U29" s="24" t="str">
        <f>HYPERLINK("https://media.infra-m.ru/2150/2150917/cover/2150917.jpg", "Обложка")</f>
        <v>Обложка</v>
      </c>
      <c r="V29" s="24" t="str">
        <f>HYPERLINK("https://znanium.ru/catalog/product/2150917", "Ознакомиться")</f>
        <v>Ознакомиться</v>
      </c>
      <c r="W29" s="8" t="s">
        <v>220</v>
      </c>
      <c r="X29" s="6" t="s">
        <v>221</v>
      </c>
      <c r="Y29" s="6"/>
      <c r="Z29" s="6"/>
      <c r="AA29" s="6" t="s">
        <v>222</v>
      </c>
      <c r="AB29" s="8"/>
    </row>
    <row r="30" spans="1:28" s="4" customFormat="1" ht="42" customHeight="1">
      <c r="A30" s="5">
        <v>0</v>
      </c>
      <c r="B30" s="6" t="s">
        <v>223</v>
      </c>
      <c r="C30" s="13">
        <v>780</v>
      </c>
      <c r="D30" s="8" t="s">
        <v>224</v>
      </c>
      <c r="E30" s="8" t="s">
        <v>225</v>
      </c>
      <c r="F30" s="8" t="s">
        <v>217</v>
      </c>
      <c r="G30" s="6" t="s">
        <v>38</v>
      </c>
      <c r="H30" s="6" t="s">
        <v>39</v>
      </c>
      <c r="I30" s="8" t="s">
        <v>40</v>
      </c>
      <c r="J30" s="9">
        <v>1</v>
      </c>
      <c r="K30" s="9">
        <v>137</v>
      </c>
      <c r="L30" s="9">
        <v>2024</v>
      </c>
      <c r="M30" s="8" t="s">
        <v>226</v>
      </c>
      <c r="N30" s="8" t="s">
        <v>144</v>
      </c>
      <c r="O30" s="8" t="s">
        <v>145</v>
      </c>
      <c r="P30" s="6" t="s">
        <v>44</v>
      </c>
      <c r="Q30" s="8" t="s">
        <v>45</v>
      </c>
      <c r="R30" s="10" t="s">
        <v>219</v>
      </c>
      <c r="S30" s="11"/>
      <c r="T30" s="6"/>
      <c r="U30" s="24" t="str">
        <f>HYPERLINK("https://media.infra-m.ru/2139/2139292/cover/2139292.jpg", "Обложка")</f>
        <v>Обложка</v>
      </c>
      <c r="V30" s="24" t="str">
        <f>HYPERLINK("https://znanium.ru/catalog/product/2150917", "Ознакомиться")</f>
        <v>Ознакомиться</v>
      </c>
      <c r="W30" s="8" t="s">
        <v>220</v>
      </c>
      <c r="X30" s="6"/>
      <c r="Y30" s="6"/>
      <c r="Z30" s="6"/>
      <c r="AA30" s="6" t="s">
        <v>227</v>
      </c>
      <c r="AB30" s="8"/>
    </row>
    <row r="31" spans="1:28" s="4" customFormat="1" ht="42" customHeight="1">
      <c r="A31" s="5">
        <v>0</v>
      </c>
      <c r="B31" s="6" t="s">
        <v>228</v>
      </c>
      <c r="C31" s="7">
        <v>1056</v>
      </c>
      <c r="D31" s="8" t="s">
        <v>229</v>
      </c>
      <c r="E31" s="8" t="s">
        <v>230</v>
      </c>
      <c r="F31" s="8" t="s">
        <v>231</v>
      </c>
      <c r="G31" s="6" t="s">
        <v>96</v>
      </c>
      <c r="H31" s="6" t="s">
        <v>39</v>
      </c>
      <c r="I31" s="8" t="s">
        <v>40</v>
      </c>
      <c r="J31" s="9">
        <v>1</v>
      </c>
      <c r="K31" s="9">
        <v>176</v>
      </c>
      <c r="L31" s="9">
        <v>2024</v>
      </c>
      <c r="M31" s="8" t="s">
        <v>232</v>
      </c>
      <c r="N31" s="8" t="s">
        <v>144</v>
      </c>
      <c r="O31" s="8" t="s">
        <v>145</v>
      </c>
      <c r="P31" s="6" t="s">
        <v>44</v>
      </c>
      <c r="Q31" s="8" t="s">
        <v>45</v>
      </c>
      <c r="R31" s="10" t="s">
        <v>233</v>
      </c>
      <c r="S31" s="11"/>
      <c r="T31" s="6"/>
      <c r="U31" s="24" t="str">
        <f>HYPERLINK("https://media.infra-m.ru/2137/2137584/cover/2137584.jpg", "Обложка")</f>
        <v>Обложка</v>
      </c>
      <c r="V31" s="24" t="str">
        <f>HYPERLINK("https://znanium.ru/catalog/product/2137584", "Ознакомиться")</f>
        <v>Ознакомиться</v>
      </c>
      <c r="W31" s="8" t="s">
        <v>234</v>
      </c>
      <c r="X31" s="6"/>
      <c r="Y31" s="6"/>
      <c r="Z31" s="6"/>
      <c r="AA31" s="6" t="s">
        <v>48</v>
      </c>
      <c r="AB31" s="8"/>
    </row>
    <row r="32" spans="1:28" s="4" customFormat="1" ht="51.95" customHeight="1">
      <c r="A32" s="5">
        <v>0</v>
      </c>
      <c r="B32" s="6" t="s">
        <v>235</v>
      </c>
      <c r="C32" s="13">
        <v>816</v>
      </c>
      <c r="D32" s="8" t="s">
        <v>236</v>
      </c>
      <c r="E32" s="8" t="s">
        <v>237</v>
      </c>
      <c r="F32" s="8" t="s">
        <v>238</v>
      </c>
      <c r="G32" s="6" t="s">
        <v>38</v>
      </c>
      <c r="H32" s="6" t="s">
        <v>39</v>
      </c>
      <c r="I32" s="8" t="s">
        <v>40</v>
      </c>
      <c r="J32" s="9">
        <v>1</v>
      </c>
      <c r="K32" s="9">
        <v>131</v>
      </c>
      <c r="L32" s="9">
        <v>2026</v>
      </c>
      <c r="M32" s="8" t="s">
        <v>239</v>
      </c>
      <c r="N32" s="8" t="s">
        <v>144</v>
      </c>
      <c r="O32" s="8" t="s">
        <v>145</v>
      </c>
      <c r="P32" s="6" t="s">
        <v>44</v>
      </c>
      <c r="Q32" s="8" t="s">
        <v>45</v>
      </c>
      <c r="R32" s="10" t="s">
        <v>240</v>
      </c>
      <c r="S32" s="11"/>
      <c r="T32" s="6"/>
      <c r="U32" s="24" t="str">
        <f>HYPERLINK("https://media.infra-m.ru/2139/2139293/cover/2139293.jpg", "Обложка")</f>
        <v>Обложка</v>
      </c>
      <c r="V32" s="24" t="str">
        <f>HYPERLINK("https://znanium.ru/catalog/product/2139293", "Ознакомиться")</f>
        <v>Ознакомиться</v>
      </c>
      <c r="W32" s="8" t="s">
        <v>241</v>
      </c>
      <c r="X32" s="6"/>
      <c r="Y32" s="6"/>
      <c r="Z32" s="6"/>
      <c r="AA32" s="6" t="s">
        <v>242</v>
      </c>
      <c r="AB32" s="8"/>
    </row>
    <row r="33" spans="1:28" s="4" customFormat="1" ht="42" customHeight="1">
      <c r="A33" s="5">
        <v>0</v>
      </c>
      <c r="B33" s="6" t="s">
        <v>243</v>
      </c>
      <c r="C33" s="7">
        <v>2034</v>
      </c>
      <c r="D33" s="8" t="s">
        <v>244</v>
      </c>
      <c r="E33" s="8" t="s">
        <v>245</v>
      </c>
      <c r="F33" s="8" t="s">
        <v>246</v>
      </c>
      <c r="G33" s="6" t="s">
        <v>62</v>
      </c>
      <c r="H33" s="6" t="s">
        <v>167</v>
      </c>
      <c r="I33" s="8"/>
      <c r="J33" s="9">
        <v>1</v>
      </c>
      <c r="K33" s="9">
        <v>304</v>
      </c>
      <c r="L33" s="9">
        <v>2026</v>
      </c>
      <c r="M33" s="8" t="s">
        <v>247</v>
      </c>
      <c r="N33" s="8" t="s">
        <v>119</v>
      </c>
      <c r="O33" s="8" t="s">
        <v>120</v>
      </c>
      <c r="P33" s="6" t="s">
        <v>248</v>
      </c>
      <c r="Q33" s="8"/>
      <c r="R33" s="10" t="s">
        <v>249</v>
      </c>
      <c r="S33" s="11"/>
      <c r="T33" s="6"/>
      <c r="U33" s="24" t="str">
        <f>HYPERLINK("https://media.infra-m.ru/2227/2227441/cover/2227441.jpg", "Обложка")</f>
        <v>Обложка</v>
      </c>
      <c r="V33" s="24" t="str">
        <f>HYPERLINK("https://znanium.ru/catalog/product/2227441", "Ознакомиться")</f>
        <v>Ознакомиться</v>
      </c>
      <c r="W33" s="8"/>
      <c r="X33" s="6"/>
      <c r="Y33" s="6"/>
      <c r="Z33" s="6"/>
      <c r="AA33" s="6" t="s">
        <v>48</v>
      </c>
      <c r="AB33" s="8"/>
    </row>
    <row r="34" spans="1:28" s="4" customFormat="1" ht="42" customHeight="1">
      <c r="A34" s="5">
        <v>0</v>
      </c>
      <c r="B34" s="6" t="s">
        <v>250</v>
      </c>
      <c r="C34" s="7">
        <v>1248</v>
      </c>
      <c r="D34" s="8" t="s">
        <v>251</v>
      </c>
      <c r="E34" s="8" t="s">
        <v>252</v>
      </c>
      <c r="F34" s="8" t="s">
        <v>253</v>
      </c>
      <c r="G34" s="6" t="s">
        <v>38</v>
      </c>
      <c r="H34" s="6" t="s">
        <v>39</v>
      </c>
      <c r="I34" s="8" t="s">
        <v>40</v>
      </c>
      <c r="J34" s="9">
        <v>1</v>
      </c>
      <c r="K34" s="9">
        <v>232</v>
      </c>
      <c r="L34" s="9">
        <v>2023</v>
      </c>
      <c r="M34" s="8" t="s">
        <v>254</v>
      </c>
      <c r="N34" s="8" t="s">
        <v>119</v>
      </c>
      <c r="O34" s="8" t="s">
        <v>120</v>
      </c>
      <c r="P34" s="6" t="s">
        <v>248</v>
      </c>
      <c r="Q34" s="8" t="s">
        <v>45</v>
      </c>
      <c r="R34" s="10" t="s">
        <v>255</v>
      </c>
      <c r="S34" s="11"/>
      <c r="T34" s="6"/>
      <c r="U34" s="24" t="str">
        <f>HYPERLINK("https://media.infra-m.ru/1895/1895176/cover/1895176.jpg", "Обложка")</f>
        <v>Обложка</v>
      </c>
      <c r="V34" s="24" t="str">
        <f>HYPERLINK("https://znanium.ru/catalog/product/1895176", "Ознакомиться")</f>
        <v>Ознакомиться</v>
      </c>
      <c r="W34" s="8" t="s">
        <v>256</v>
      </c>
      <c r="X34" s="6"/>
      <c r="Y34" s="6"/>
      <c r="Z34" s="6"/>
      <c r="AA34" s="6" t="s">
        <v>227</v>
      </c>
      <c r="AB34" s="8"/>
    </row>
    <row r="35" spans="1:28" s="4" customFormat="1" ht="42" customHeight="1">
      <c r="A35" s="5">
        <v>0</v>
      </c>
      <c r="B35" s="6" t="s">
        <v>257</v>
      </c>
      <c r="C35" s="7">
        <v>1672.8</v>
      </c>
      <c r="D35" s="8" t="s">
        <v>258</v>
      </c>
      <c r="E35" s="8" t="s">
        <v>259</v>
      </c>
      <c r="F35" s="8" t="s">
        <v>260</v>
      </c>
      <c r="G35" s="6" t="s">
        <v>38</v>
      </c>
      <c r="H35" s="6" t="s">
        <v>167</v>
      </c>
      <c r="I35" s="8"/>
      <c r="J35" s="9">
        <v>1</v>
      </c>
      <c r="K35" s="9">
        <v>304</v>
      </c>
      <c r="L35" s="9">
        <v>2024</v>
      </c>
      <c r="M35" s="8" t="s">
        <v>261</v>
      </c>
      <c r="N35" s="8" t="s">
        <v>119</v>
      </c>
      <c r="O35" s="8" t="s">
        <v>120</v>
      </c>
      <c r="P35" s="6" t="s">
        <v>199</v>
      </c>
      <c r="Q35" s="8" t="s">
        <v>200</v>
      </c>
      <c r="R35" s="10" t="s">
        <v>262</v>
      </c>
      <c r="S35" s="11"/>
      <c r="T35" s="6"/>
      <c r="U35" s="24" t="str">
        <f>HYPERLINK("https://media.infra-m.ru/2102/2102181/cover/2102181.jpg", "Обложка")</f>
        <v>Обложка</v>
      </c>
      <c r="V35" s="24" t="str">
        <f>HYPERLINK("https://znanium.ru/catalog/product/1859036", "Ознакомиться")</f>
        <v>Ознакомиться</v>
      </c>
      <c r="W35" s="8" t="s">
        <v>263</v>
      </c>
      <c r="X35" s="6"/>
      <c r="Y35" s="6"/>
      <c r="Z35" s="6"/>
      <c r="AA35" s="6" t="s">
        <v>264</v>
      </c>
      <c r="AB35" s="8"/>
    </row>
    <row r="36" spans="1:28" s="4" customFormat="1" ht="51.95" customHeight="1">
      <c r="A36" s="5">
        <v>0</v>
      </c>
      <c r="B36" s="6" t="s">
        <v>265</v>
      </c>
      <c r="C36" s="13">
        <v>712.8</v>
      </c>
      <c r="D36" s="8" t="s">
        <v>266</v>
      </c>
      <c r="E36" s="8" t="s">
        <v>267</v>
      </c>
      <c r="F36" s="8" t="s">
        <v>268</v>
      </c>
      <c r="G36" s="6" t="s">
        <v>38</v>
      </c>
      <c r="H36" s="6" t="s">
        <v>188</v>
      </c>
      <c r="I36" s="8"/>
      <c r="J36" s="9">
        <v>1</v>
      </c>
      <c r="K36" s="9">
        <v>112</v>
      </c>
      <c r="L36" s="9">
        <v>2023</v>
      </c>
      <c r="M36" s="8" t="s">
        <v>269</v>
      </c>
      <c r="N36" s="8" t="s">
        <v>119</v>
      </c>
      <c r="O36" s="8" t="s">
        <v>270</v>
      </c>
      <c r="P36" s="6" t="s">
        <v>271</v>
      </c>
      <c r="Q36" s="8" t="s">
        <v>45</v>
      </c>
      <c r="R36" s="10" t="s">
        <v>272</v>
      </c>
      <c r="S36" s="11"/>
      <c r="T36" s="6"/>
      <c r="U36" s="24" t="str">
        <f>HYPERLINK("https://media.infra-m.ru/2126/2126585/cover/2126585.jpg", "Обложка")</f>
        <v>Обложка</v>
      </c>
      <c r="V36" s="24" t="str">
        <f>HYPERLINK("https://znanium.ru/catalog/product/2125533", "Ознакомиться")</f>
        <v>Ознакомиться</v>
      </c>
      <c r="W36" s="8"/>
      <c r="X36" s="6"/>
      <c r="Y36" s="6"/>
      <c r="Z36" s="6"/>
      <c r="AA36" s="6" t="s">
        <v>273</v>
      </c>
      <c r="AB36" s="8"/>
    </row>
    <row r="37" spans="1:28" s="4" customFormat="1" ht="51.95" customHeight="1">
      <c r="A37" s="5">
        <v>0</v>
      </c>
      <c r="B37" s="6" t="s">
        <v>274</v>
      </c>
      <c r="C37" s="13">
        <v>384</v>
      </c>
      <c r="D37" s="8" t="s">
        <v>275</v>
      </c>
      <c r="E37" s="8" t="s">
        <v>276</v>
      </c>
      <c r="F37" s="8" t="s">
        <v>277</v>
      </c>
      <c r="G37" s="6" t="s">
        <v>38</v>
      </c>
      <c r="H37" s="6" t="s">
        <v>39</v>
      </c>
      <c r="I37" s="8" t="s">
        <v>40</v>
      </c>
      <c r="J37" s="9">
        <v>1</v>
      </c>
      <c r="K37" s="9">
        <v>82</v>
      </c>
      <c r="L37" s="9">
        <v>2022</v>
      </c>
      <c r="M37" s="8" t="s">
        <v>278</v>
      </c>
      <c r="N37" s="8" t="s">
        <v>42</v>
      </c>
      <c r="O37" s="8" t="s">
        <v>43</v>
      </c>
      <c r="P37" s="6" t="s">
        <v>44</v>
      </c>
      <c r="Q37" s="8" t="s">
        <v>45</v>
      </c>
      <c r="R37" s="10" t="s">
        <v>279</v>
      </c>
      <c r="S37" s="11"/>
      <c r="T37" s="6"/>
      <c r="U37" s="24" t="str">
        <f>HYPERLINK("https://media.infra-m.ru/1862/1862662/cover/1862662.jpg", "Обложка")</f>
        <v>Обложка</v>
      </c>
      <c r="V37" s="24" t="str">
        <f>HYPERLINK("https://znanium.ru/catalog/product/1862662", "Ознакомиться")</f>
        <v>Ознакомиться</v>
      </c>
      <c r="W37" s="8" t="s">
        <v>280</v>
      </c>
      <c r="X37" s="6"/>
      <c r="Y37" s="6"/>
      <c r="Z37" s="6"/>
      <c r="AA37" s="6" t="s">
        <v>138</v>
      </c>
      <c r="AB37" s="8"/>
    </row>
    <row r="38" spans="1:28" s="4" customFormat="1" ht="44.1" customHeight="1">
      <c r="A38" s="5">
        <v>0</v>
      </c>
      <c r="B38" s="6" t="s">
        <v>281</v>
      </c>
      <c r="C38" s="7">
        <v>1380</v>
      </c>
      <c r="D38" s="8" t="s">
        <v>282</v>
      </c>
      <c r="E38" s="8" t="s">
        <v>283</v>
      </c>
      <c r="F38" s="8" t="s">
        <v>284</v>
      </c>
      <c r="G38" s="6" t="s">
        <v>96</v>
      </c>
      <c r="H38" s="6" t="s">
        <v>39</v>
      </c>
      <c r="I38" s="8" t="s">
        <v>40</v>
      </c>
      <c r="J38" s="9">
        <v>1</v>
      </c>
      <c r="K38" s="9">
        <v>244</v>
      </c>
      <c r="L38" s="9">
        <v>2023</v>
      </c>
      <c r="M38" s="8" t="s">
        <v>285</v>
      </c>
      <c r="N38" s="8" t="s">
        <v>42</v>
      </c>
      <c r="O38" s="8" t="s">
        <v>104</v>
      </c>
      <c r="P38" s="6" t="s">
        <v>44</v>
      </c>
      <c r="Q38" s="8" t="s">
        <v>45</v>
      </c>
      <c r="R38" s="10" t="s">
        <v>286</v>
      </c>
      <c r="S38" s="11"/>
      <c r="T38" s="6"/>
      <c r="U38" s="24" t="str">
        <f>HYPERLINK("https://media.infra-m.ru/1903/1903337/cover/1903337.jpg", "Обложка")</f>
        <v>Обложка</v>
      </c>
      <c r="V38" s="24" t="str">
        <f>HYPERLINK("https://znanium.ru/catalog/product/1903337", "Ознакомиться")</f>
        <v>Ознакомиться</v>
      </c>
      <c r="W38" s="8" t="s">
        <v>287</v>
      </c>
      <c r="X38" s="6"/>
      <c r="Y38" s="6"/>
      <c r="Z38" s="6"/>
      <c r="AA38" s="6" t="s">
        <v>91</v>
      </c>
      <c r="AB38" s="8"/>
    </row>
    <row r="39" spans="1:28" s="4" customFormat="1" ht="42" customHeight="1">
      <c r="A39" s="5">
        <v>0</v>
      </c>
      <c r="B39" s="6" t="s">
        <v>288</v>
      </c>
      <c r="C39" s="7">
        <v>1680</v>
      </c>
      <c r="D39" s="8" t="s">
        <v>289</v>
      </c>
      <c r="E39" s="8" t="s">
        <v>290</v>
      </c>
      <c r="F39" s="8" t="s">
        <v>291</v>
      </c>
      <c r="G39" s="6" t="s">
        <v>38</v>
      </c>
      <c r="H39" s="6" t="s">
        <v>39</v>
      </c>
      <c r="I39" s="8" t="s">
        <v>40</v>
      </c>
      <c r="J39" s="9">
        <v>1</v>
      </c>
      <c r="K39" s="9">
        <v>370</v>
      </c>
      <c r="L39" s="9">
        <v>2021</v>
      </c>
      <c r="M39" s="8" t="s">
        <v>292</v>
      </c>
      <c r="N39" s="8" t="s">
        <v>42</v>
      </c>
      <c r="O39" s="8" t="s">
        <v>72</v>
      </c>
      <c r="P39" s="6" t="s">
        <v>44</v>
      </c>
      <c r="Q39" s="8" t="s">
        <v>45</v>
      </c>
      <c r="R39" s="10" t="s">
        <v>127</v>
      </c>
      <c r="S39" s="11"/>
      <c r="T39" s="6"/>
      <c r="U39" s="24" t="str">
        <f>HYPERLINK("https://media.infra-m.ru/1487/1487716/cover/1487716.jpg", "Обложка")</f>
        <v>Обложка</v>
      </c>
      <c r="V39" s="24" t="str">
        <f>HYPERLINK("https://znanium.ru/catalog/product/1487716", "Ознакомиться")</f>
        <v>Ознакомиться</v>
      </c>
      <c r="W39" s="8" t="s">
        <v>293</v>
      </c>
      <c r="X39" s="6"/>
      <c r="Y39" s="6"/>
      <c r="Z39" s="6"/>
      <c r="AA39" s="6" t="s">
        <v>129</v>
      </c>
      <c r="AB39" s="8"/>
    </row>
    <row r="40" spans="1:28" s="4" customFormat="1" ht="51.95" customHeight="1">
      <c r="A40" s="5">
        <v>0</v>
      </c>
      <c r="B40" s="6" t="s">
        <v>294</v>
      </c>
      <c r="C40" s="7">
        <v>1128</v>
      </c>
      <c r="D40" s="8" t="s">
        <v>295</v>
      </c>
      <c r="E40" s="8" t="s">
        <v>296</v>
      </c>
      <c r="F40" s="8" t="s">
        <v>297</v>
      </c>
      <c r="G40" s="6" t="s">
        <v>38</v>
      </c>
      <c r="H40" s="6" t="s">
        <v>39</v>
      </c>
      <c r="I40" s="8" t="s">
        <v>40</v>
      </c>
      <c r="J40" s="9">
        <v>1</v>
      </c>
      <c r="K40" s="9">
        <v>188</v>
      </c>
      <c r="L40" s="9">
        <v>2025</v>
      </c>
      <c r="M40" s="8" t="s">
        <v>298</v>
      </c>
      <c r="N40" s="8" t="s">
        <v>42</v>
      </c>
      <c r="O40" s="8" t="s">
        <v>43</v>
      </c>
      <c r="P40" s="6" t="s">
        <v>44</v>
      </c>
      <c r="Q40" s="8" t="s">
        <v>45</v>
      </c>
      <c r="R40" s="10" t="s">
        <v>299</v>
      </c>
      <c r="S40" s="11"/>
      <c r="T40" s="6"/>
      <c r="U40" s="24" t="str">
        <f>HYPERLINK("https://media.infra-m.ru/2174/2174429/cover/2174429.jpg", "Обложка")</f>
        <v>Обложка</v>
      </c>
      <c r="V40" s="24" t="str">
        <f>HYPERLINK("https://znanium.ru/catalog/product/2174429", "Ознакомиться")</f>
        <v>Ознакомиться</v>
      </c>
      <c r="W40" s="8" t="s">
        <v>241</v>
      </c>
      <c r="X40" s="6"/>
      <c r="Y40" s="6"/>
      <c r="Z40" s="6"/>
      <c r="AA40" s="6" t="s">
        <v>300</v>
      </c>
      <c r="AB40" s="8"/>
    </row>
    <row r="41" spans="1:28" s="4" customFormat="1" ht="44.1" customHeight="1">
      <c r="A41" s="5">
        <v>0</v>
      </c>
      <c r="B41" s="6" t="s">
        <v>301</v>
      </c>
      <c r="C41" s="13">
        <v>756</v>
      </c>
      <c r="D41" s="8" t="s">
        <v>302</v>
      </c>
      <c r="E41" s="8" t="s">
        <v>303</v>
      </c>
      <c r="F41" s="8" t="s">
        <v>304</v>
      </c>
      <c r="G41" s="6" t="s">
        <v>38</v>
      </c>
      <c r="H41" s="6" t="s">
        <v>39</v>
      </c>
      <c r="I41" s="8" t="s">
        <v>40</v>
      </c>
      <c r="J41" s="9">
        <v>1</v>
      </c>
      <c r="K41" s="9">
        <v>140</v>
      </c>
      <c r="L41" s="9">
        <v>2023</v>
      </c>
      <c r="M41" s="8" t="s">
        <v>305</v>
      </c>
      <c r="N41" s="8" t="s">
        <v>306</v>
      </c>
      <c r="O41" s="8" t="s">
        <v>307</v>
      </c>
      <c r="P41" s="6" t="s">
        <v>44</v>
      </c>
      <c r="Q41" s="8" t="s">
        <v>45</v>
      </c>
      <c r="R41" s="10" t="s">
        <v>308</v>
      </c>
      <c r="S41" s="11"/>
      <c r="T41" s="6"/>
      <c r="U41" s="24" t="str">
        <f>HYPERLINK("https://media.infra-m.ru/1859/1859802/cover/1859802.jpg", "Обложка")</f>
        <v>Обложка</v>
      </c>
      <c r="V41" s="24" t="str">
        <f>HYPERLINK("https://znanium.ru/catalog/product/1859802", "Ознакомиться")</f>
        <v>Ознакомиться</v>
      </c>
      <c r="W41" s="8" t="s">
        <v>309</v>
      </c>
      <c r="X41" s="6"/>
      <c r="Y41" s="6"/>
      <c r="Z41" s="6"/>
      <c r="AA41" s="6" t="s">
        <v>227</v>
      </c>
      <c r="AB41" s="8"/>
    </row>
    <row r="42" spans="1:28" s="4" customFormat="1" ht="51.95" customHeight="1">
      <c r="A42" s="5">
        <v>0</v>
      </c>
      <c r="B42" s="6" t="s">
        <v>310</v>
      </c>
      <c r="C42" s="13">
        <v>852</v>
      </c>
      <c r="D42" s="8" t="s">
        <v>311</v>
      </c>
      <c r="E42" s="8" t="s">
        <v>312</v>
      </c>
      <c r="F42" s="8" t="s">
        <v>313</v>
      </c>
      <c r="G42" s="6" t="s">
        <v>38</v>
      </c>
      <c r="H42" s="6" t="s">
        <v>39</v>
      </c>
      <c r="I42" s="8" t="s">
        <v>40</v>
      </c>
      <c r="J42" s="9">
        <v>1</v>
      </c>
      <c r="K42" s="9">
        <v>210</v>
      </c>
      <c r="L42" s="9">
        <v>2019</v>
      </c>
      <c r="M42" s="8" t="s">
        <v>314</v>
      </c>
      <c r="N42" s="8" t="s">
        <v>42</v>
      </c>
      <c r="O42" s="8" t="s">
        <v>72</v>
      </c>
      <c r="P42" s="6" t="s">
        <v>44</v>
      </c>
      <c r="Q42" s="8" t="s">
        <v>45</v>
      </c>
      <c r="R42" s="10" t="s">
        <v>73</v>
      </c>
      <c r="S42" s="11"/>
      <c r="T42" s="6"/>
      <c r="U42" s="24" t="str">
        <f>HYPERLINK("https://media.infra-m.ru/0989/0989370/cover/989370.jpg", "Обложка")</f>
        <v>Обложка</v>
      </c>
      <c r="V42" s="24" t="str">
        <f>HYPERLINK("https://znanium.ru/catalog/product/989370", "Ознакомиться")</f>
        <v>Ознакомиться</v>
      </c>
      <c r="W42" s="8" t="s">
        <v>315</v>
      </c>
      <c r="X42" s="6"/>
      <c r="Y42" s="6"/>
      <c r="Z42" s="6"/>
      <c r="AA42" s="6" t="s">
        <v>183</v>
      </c>
      <c r="AB42" s="8"/>
    </row>
    <row r="43" spans="1:28" s="4" customFormat="1" ht="51.95" customHeight="1">
      <c r="A43" s="5">
        <v>0</v>
      </c>
      <c r="B43" s="6" t="s">
        <v>316</v>
      </c>
      <c r="C43" s="7">
        <v>1000.8</v>
      </c>
      <c r="D43" s="8" t="s">
        <v>317</v>
      </c>
      <c r="E43" s="8" t="s">
        <v>318</v>
      </c>
      <c r="F43" s="8" t="s">
        <v>319</v>
      </c>
      <c r="G43" s="6" t="s">
        <v>62</v>
      </c>
      <c r="H43" s="6" t="s">
        <v>39</v>
      </c>
      <c r="I43" s="8" t="s">
        <v>40</v>
      </c>
      <c r="J43" s="9">
        <v>1</v>
      </c>
      <c r="K43" s="9">
        <v>176</v>
      </c>
      <c r="L43" s="9">
        <v>2024</v>
      </c>
      <c r="M43" s="8" t="s">
        <v>320</v>
      </c>
      <c r="N43" s="8" t="s">
        <v>42</v>
      </c>
      <c r="O43" s="8" t="s">
        <v>43</v>
      </c>
      <c r="P43" s="6" t="s">
        <v>44</v>
      </c>
      <c r="Q43" s="8" t="s">
        <v>45</v>
      </c>
      <c r="R43" s="10" t="s">
        <v>321</v>
      </c>
      <c r="S43" s="11"/>
      <c r="T43" s="6"/>
      <c r="U43" s="24" t="str">
        <f>HYPERLINK("https://media.infra-m.ru/2110/2110066/cover/2110066.jpg", "Обложка")</f>
        <v>Обложка</v>
      </c>
      <c r="V43" s="24" t="str">
        <f>HYPERLINK("https://znanium.ru/catalog/product/1541978", "Ознакомиться")</f>
        <v>Ознакомиться</v>
      </c>
      <c r="W43" s="8" t="s">
        <v>322</v>
      </c>
      <c r="X43" s="6"/>
      <c r="Y43" s="6"/>
      <c r="Z43" s="6"/>
      <c r="AA43" s="6" t="s">
        <v>138</v>
      </c>
      <c r="AB43" s="8"/>
    </row>
    <row r="44" spans="1:28" s="4" customFormat="1" ht="51.95" customHeight="1">
      <c r="A44" s="5">
        <v>0</v>
      </c>
      <c r="B44" s="6" t="s">
        <v>323</v>
      </c>
      <c r="C44" s="13">
        <v>748.8</v>
      </c>
      <c r="D44" s="8" t="s">
        <v>324</v>
      </c>
      <c r="E44" s="8" t="s">
        <v>325</v>
      </c>
      <c r="F44" s="8" t="s">
        <v>326</v>
      </c>
      <c r="G44" s="6" t="s">
        <v>38</v>
      </c>
      <c r="H44" s="6" t="s">
        <v>39</v>
      </c>
      <c r="I44" s="8" t="s">
        <v>40</v>
      </c>
      <c r="J44" s="9">
        <v>1</v>
      </c>
      <c r="K44" s="9">
        <v>120</v>
      </c>
      <c r="L44" s="9">
        <v>2026</v>
      </c>
      <c r="M44" s="8" t="s">
        <v>327</v>
      </c>
      <c r="N44" s="8" t="s">
        <v>42</v>
      </c>
      <c r="O44" s="8" t="s">
        <v>43</v>
      </c>
      <c r="P44" s="6" t="s">
        <v>44</v>
      </c>
      <c r="Q44" s="8" t="s">
        <v>45</v>
      </c>
      <c r="R44" s="10" t="s">
        <v>328</v>
      </c>
      <c r="S44" s="11"/>
      <c r="T44" s="6"/>
      <c r="U44" s="24" t="str">
        <f>HYPERLINK("https://media.infra-m.ru/2213/2213708/cover/2213708.jpg", "Обложка")</f>
        <v>Обложка</v>
      </c>
      <c r="V44" s="24" t="str">
        <f>HYPERLINK("https://znanium.ru/catalog/product/2079614", "Ознакомиться")</f>
        <v>Ознакомиться</v>
      </c>
      <c r="W44" s="8" t="s">
        <v>329</v>
      </c>
      <c r="X44" s="6"/>
      <c r="Y44" s="6"/>
      <c r="Z44" s="6"/>
      <c r="AA44" s="6" t="s">
        <v>183</v>
      </c>
      <c r="AB44" s="8"/>
    </row>
    <row r="45" spans="1:28" s="4" customFormat="1" ht="42" customHeight="1">
      <c r="A45" s="5">
        <v>0</v>
      </c>
      <c r="B45" s="6" t="s">
        <v>330</v>
      </c>
      <c r="C45" s="13">
        <v>588</v>
      </c>
      <c r="D45" s="8" t="s">
        <v>331</v>
      </c>
      <c r="E45" s="8" t="s">
        <v>332</v>
      </c>
      <c r="F45" s="8" t="s">
        <v>333</v>
      </c>
      <c r="G45" s="6" t="s">
        <v>38</v>
      </c>
      <c r="H45" s="6" t="s">
        <v>39</v>
      </c>
      <c r="I45" s="8" t="s">
        <v>40</v>
      </c>
      <c r="J45" s="9">
        <v>1</v>
      </c>
      <c r="K45" s="9">
        <v>106</v>
      </c>
      <c r="L45" s="9">
        <v>2024</v>
      </c>
      <c r="M45" s="8" t="s">
        <v>334</v>
      </c>
      <c r="N45" s="8" t="s">
        <v>42</v>
      </c>
      <c r="O45" s="8" t="s">
        <v>43</v>
      </c>
      <c r="P45" s="6" t="s">
        <v>44</v>
      </c>
      <c r="Q45" s="8" t="s">
        <v>45</v>
      </c>
      <c r="R45" s="10" t="s">
        <v>335</v>
      </c>
      <c r="S45" s="11"/>
      <c r="T45" s="6"/>
      <c r="U45" s="24" t="str">
        <f>HYPERLINK("https://media.infra-m.ru/2093/2093942/cover/2093942.jpg", "Обложка")</f>
        <v>Обложка</v>
      </c>
      <c r="V45" s="24" t="str">
        <f>HYPERLINK("https://znanium.ru/catalog/product/2093942", "Ознакомиться")</f>
        <v>Ознакомиться</v>
      </c>
      <c r="W45" s="8" t="s">
        <v>329</v>
      </c>
      <c r="X45" s="6"/>
      <c r="Y45" s="6"/>
      <c r="Z45" s="6"/>
      <c r="AA45" s="6" t="s">
        <v>183</v>
      </c>
      <c r="AB45" s="8"/>
    </row>
    <row r="46" spans="1:28" s="4" customFormat="1" ht="51.95" customHeight="1">
      <c r="A46" s="5">
        <v>0</v>
      </c>
      <c r="B46" s="6" t="s">
        <v>336</v>
      </c>
      <c r="C46" s="7">
        <v>5388</v>
      </c>
      <c r="D46" s="8" t="s">
        <v>337</v>
      </c>
      <c r="E46" s="8" t="s">
        <v>338</v>
      </c>
      <c r="F46" s="8" t="s">
        <v>339</v>
      </c>
      <c r="G46" s="6" t="s">
        <v>96</v>
      </c>
      <c r="H46" s="6" t="s">
        <v>39</v>
      </c>
      <c r="I46" s="8" t="s">
        <v>340</v>
      </c>
      <c r="J46" s="9">
        <v>1</v>
      </c>
      <c r="K46" s="9">
        <v>1180</v>
      </c>
      <c r="L46" s="9">
        <v>2026</v>
      </c>
      <c r="M46" s="8" t="s">
        <v>341</v>
      </c>
      <c r="N46" s="8" t="s">
        <v>42</v>
      </c>
      <c r="O46" s="8" t="s">
        <v>43</v>
      </c>
      <c r="P46" s="6" t="s">
        <v>271</v>
      </c>
      <c r="Q46" s="8" t="s">
        <v>45</v>
      </c>
      <c r="R46" s="10" t="s">
        <v>342</v>
      </c>
      <c r="S46" s="11"/>
      <c r="T46" s="6"/>
      <c r="U46" s="24" t="str">
        <f>HYPERLINK("https://media.infra-m.ru/2211/2211641/cover/2211641.jpg", "Обложка")</f>
        <v>Обложка</v>
      </c>
      <c r="V46" s="24" t="str">
        <f>HYPERLINK("https://znanium.ru/catalog/product/2211641", "Ознакомиться")</f>
        <v>Ознакомиться</v>
      </c>
      <c r="W46" s="8" t="s">
        <v>343</v>
      </c>
      <c r="X46" s="6" t="s">
        <v>344</v>
      </c>
      <c r="Y46" s="6"/>
      <c r="Z46" s="6"/>
      <c r="AA46" s="6" t="s">
        <v>345</v>
      </c>
      <c r="AB46" s="8"/>
    </row>
    <row r="47" spans="1:28" s="4" customFormat="1" ht="51.95" customHeight="1">
      <c r="A47" s="5">
        <v>0</v>
      </c>
      <c r="B47" s="6" t="s">
        <v>346</v>
      </c>
      <c r="C47" s="7">
        <v>3996</v>
      </c>
      <c r="D47" s="8" t="s">
        <v>347</v>
      </c>
      <c r="E47" s="8" t="s">
        <v>348</v>
      </c>
      <c r="F47" s="8" t="s">
        <v>339</v>
      </c>
      <c r="G47" s="6" t="s">
        <v>96</v>
      </c>
      <c r="H47" s="6" t="s">
        <v>39</v>
      </c>
      <c r="I47" s="8" t="s">
        <v>340</v>
      </c>
      <c r="J47" s="9">
        <v>1</v>
      </c>
      <c r="K47" s="9">
        <v>875</v>
      </c>
      <c r="L47" s="9">
        <v>2026</v>
      </c>
      <c r="M47" s="8" t="s">
        <v>349</v>
      </c>
      <c r="N47" s="8" t="s">
        <v>42</v>
      </c>
      <c r="O47" s="8" t="s">
        <v>43</v>
      </c>
      <c r="P47" s="6" t="s">
        <v>271</v>
      </c>
      <c r="Q47" s="8" t="s">
        <v>45</v>
      </c>
      <c r="R47" s="10" t="s">
        <v>342</v>
      </c>
      <c r="S47" s="11"/>
      <c r="T47" s="6"/>
      <c r="U47" s="24" t="str">
        <f>HYPERLINK("https://media.infra-m.ru/2211/2211642/cover/2211642.jpg", "Обложка")</f>
        <v>Обложка</v>
      </c>
      <c r="V47" s="24" t="str">
        <f>HYPERLINK("https://znanium.ru/catalog/product/2211642", "Ознакомиться")</f>
        <v>Ознакомиться</v>
      </c>
      <c r="W47" s="8" t="s">
        <v>343</v>
      </c>
      <c r="X47" s="6" t="s">
        <v>350</v>
      </c>
      <c r="Y47" s="6"/>
      <c r="Z47" s="6"/>
      <c r="AA47" s="6" t="s">
        <v>345</v>
      </c>
      <c r="AB47" s="8"/>
    </row>
    <row r="48" spans="1:28" s="4" customFormat="1" ht="51.95" customHeight="1">
      <c r="A48" s="5">
        <v>0</v>
      </c>
      <c r="B48" s="6" t="s">
        <v>351</v>
      </c>
      <c r="C48" s="7">
        <v>2340</v>
      </c>
      <c r="D48" s="8" t="s">
        <v>352</v>
      </c>
      <c r="E48" s="8" t="s">
        <v>353</v>
      </c>
      <c r="F48" s="8" t="s">
        <v>354</v>
      </c>
      <c r="G48" s="6" t="s">
        <v>96</v>
      </c>
      <c r="H48" s="6" t="s">
        <v>39</v>
      </c>
      <c r="I48" s="8" t="s">
        <v>340</v>
      </c>
      <c r="J48" s="9">
        <v>1</v>
      </c>
      <c r="K48" s="9">
        <v>336</v>
      </c>
      <c r="L48" s="9">
        <v>2025</v>
      </c>
      <c r="M48" s="8" t="s">
        <v>355</v>
      </c>
      <c r="N48" s="8" t="s">
        <v>42</v>
      </c>
      <c r="O48" s="8" t="s">
        <v>43</v>
      </c>
      <c r="P48" s="6" t="s">
        <v>271</v>
      </c>
      <c r="Q48" s="8" t="s">
        <v>180</v>
      </c>
      <c r="R48" s="10" t="s">
        <v>356</v>
      </c>
      <c r="S48" s="11" t="s">
        <v>357</v>
      </c>
      <c r="T48" s="6"/>
      <c r="U48" s="24" t="str">
        <f>HYPERLINK("https://media.infra-m.ru/2141/2141117/cover/2141117.jpg", "Обложка")</f>
        <v>Обложка</v>
      </c>
      <c r="V48" s="24" t="str">
        <f>HYPERLINK("https://znanium.ru/catalog/product/2141117", "Ознакомиться")</f>
        <v>Ознакомиться</v>
      </c>
      <c r="W48" s="8" t="s">
        <v>358</v>
      </c>
      <c r="X48" s="6" t="s">
        <v>359</v>
      </c>
      <c r="Y48" s="6"/>
      <c r="Z48" s="6"/>
      <c r="AA48" s="6" t="s">
        <v>360</v>
      </c>
      <c r="AB48" s="8"/>
    </row>
    <row r="49" spans="1:28" s="4" customFormat="1" ht="51.95" customHeight="1">
      <c r="A49" s="5">
        <v>0</v>
      </c>
      <c r="B49" s="6" t="s">
        <v>361</v>
      </c>
      <c r="C49" s="7">
        <v>2030.4</v>
      </c>
      <c r="D49" s="8" t="s">
        <v>362</v>
      </c>
      <c r="E49" s="8" t="s">
        <v>363</v>
      </c>
      <c r="F49" s="8" t="s">
        <v>364</v>
      </c>
      <c r="G49" s="6" t="s">
        <v>62</v>
      </c>
      <c r="H49" s="6" t="s">
        <v>39</v>
      </c>
      <c r="I49" s="8" t="s">
        <v>365</v>
      </c>
      <c r="J49" s="9">
        <v>1</v>
      </c>
      <c r="K49" s="9">
        <v>243</v>
      </c>
      <c r="L49" s="9">
        <v>2025</v>
      </c>
      <c r="M49" s="8" t="s">
        <v>366</v>
      </c>
      <c r="N49" s="8" t="s">
        <v>42</v>
      </c>
      <c r="O49" s="8" t="s">
        <v>43</v>
      </c>
      <c r="P49" s="6" t="s">
        <v>271</v>
      </c>
      <c r="Q49" s="8" t="s">
        <v>45</v>
      </c>
      <c r="R49" s="10" t="s">
        <v>367</v>
      </c>
      <c r="S49" s="11"/>
      <c r="T49" s="6"/>
      <c r="U49" s="24" t="str">
        <f>HYPERLINK("https://media.infra-m.ru/2210/2210558/cover/2210558.jpg", "Обложка")</f>
        <v>Обложка</v>
      </c>
      <c r="V49" s="24" t="str">
        <f>HYPERLINK("https://znanium.ru/catalog/product/2210558", "Ознакомиться")</f>
        <v>Ознакомиться</v>
      </c>
      <c r="W49" s="8" t="s">
        <v>368</v>
      </c>
      <c r="X49" s="6"/>
      <c r="Y49" s="6"/>
      <c r="Z49" s="6"/>
      <c r="AA49" s="6" t="s">
        <v>264</v>
      </c>
      <c r="AB49" s="8"/>
    </row>
    <row r="50" spans="1:28" s="4" customFormat="1" ht="51.95" customHeight="1">
      <c r="A50" s="5">
        <v>0</v>
      </c>
      <c r="B50" s="6" t="s">
        <v>369</v>
      </c>
      <c r="C50" s="7">
        <v>1284</v>
      </c>
      <c r="D50" s="8" t="s">
        <v>370</v>
      </c>
      <c r="E50" s="8" t="s">
        <v>371</v>
      </c>
      <c r="F50" s="8" t="s">
        <v>372</v>
      </c>
      <c r="G50" s="6" t="s">
        <v>62</v>
      </c>
      <c r="H50" s="6" t="s">
        <v>39</v>
      </c>
      <c r="I50" s="8" t="s">
        <v>340</v>
      </c>
      <c r="J50" s="9">
        <v>1</v>
      </c>
      <c r="K50" s="9">
        <v>238</v>
      </c>
      <c r="L50" s="9">
        <v>2023</v>
      </c>
      <c r="M50" s="8" t="s">
        <v>373</v>
      </c>
      <c r="N50" s="8" t="s">
        <v>42</v>
      </c>
      <c r="O50" s="8" t="s">
        <v>43</v>
      </c>
      <c r="P50" s="6" t="s">
        <v>271</v>
      </c>
      <c r="Q50" s="8" t="s">
        <v>45</v>
      </c>
      <c r="R50" s="10" t="s">
        <v>374</v>
      </c>
      <c r="S50" s="11"/>
      <c r="T50" s="6"/>
      <c r="U50" s="24" t="str">
        <f>HYPERLINK("https://media.infra-m.ru/1859/1859803/cover/1859803.jpg", "Обложка")</f>
        <v>Обложка</v>
      </c>
      <c r="V50" s="24" t="str">
        <f>HYPERLINK("https://znanium.ru/catalog/product/1859803", "Ознакомиться")</f>
        <v>Ознакомиться</v>
      </c>
      <c r="W50" s="8" t="s">
        <v>375</v>
      </c>
      <c r="X50" s="6"/>
      <c r="Y50" s="6"/>
      <c r="Z50" s="6"/>
      <c r="AA50" s="6" t="s">
        <v>213</v>
      </c>
      <c r="AB50" s="8"/>
    </row>
    <row r="51" spans="1:28" s="4" customFormat="1" ht="44.1" customHeight="1">
      <c r="A51" s="5">
        <v>0</v>
      </c>
      <c r="B51" s="6" t="s">
        <v>376</v>
      </c>
      <c r="C51" s="7">
        <v>1430.4</v>
      </c>
      <c r="D51" s="8" t="s">
        <v>377</v>
      </c>
      <c r="E51" s="8" t="s">
        <v>378</v>
      </c>
      <c r="F51" s="8" t="s">
        <v>379</v>
      </c>
      <c r="G51" s="6" t="s">
        <v>38</v>
      </c>
      <c r="H51" s="6" t="s">
        <v>118</v>
      </c>
      <c r="I51" s="8" t="s">
        <v>40</v>
      </c>
      <c r="J51" s="9">
        <v>1</v>
      </c>
      <c r="K51" s="9">
        <v>178</v>
      </c>
      <c r="L51" s="9">
        <v>2025</v>
      </c>
      <c r="M51" s="8" t="s">
        <v>380</v>
      </c>
      <c r="N51" s="8" t="s">
        <v>119</v>
      </c>
      <c r="O51" s="8" t="s">
        <v>381</v>
      </c>
      <c r="P51" s="6" t="s">
        <v>382</v>
      </c>
      <c r="Q51" s="8" t="s">
        <v>45</v>
      </c>
      <c r="R51" s="10" t="s">
        <v>383</v>
      </c>
      <c r="S51" s="11"/>
      <c r="T51" s="6"/>
      <c r="U51" s="24" t="str">
        <f>HYPERLINK("https://media.infra-m.ru/2179/2179728/cover/2179728.jpg", "Обложка")</f>
        <v>Обложка</v>
      </c>
      <c r="V51" s="24" t="str">
        <f>HYPERLINK("https://znanium.ru/catalog/product/2179728", "Ознакомиться")</f>
        <v>Ознакомиться</v>
      </c>
      <c r="W51" s="8"/>
      <c r="X51" s="6"/>
      <c r="Y51" s="6"/>
      <c r="Z51" s="6"/>
      <c r="AA51" s="6" t="s">
        <v>183</v>
      </c>
      <c r="AB51" s="8"/>
    </row>
    <row r="52" spans="1:28" s="4" customFormat="1" ht="51.95" customHeight="1">
      <c r="A52" s="5">
        <v>0</v>
      </c>
      <c r="B52" s="6" t="s">
        <v>384</v>
      </c>
      <c r="C52" s="13">
        <v>948</v>
      </c>
      <c r="D52" s="8" t="s">
        <v>385</v>
      </c>
      <c r="E52" s="8" t="s">
        <v>386</v>
      </c>
      <c r="F52" s="8" t="s">
        <v>387</v>
      </c>
      <c r="G52" s="6" t="s">
        <v>38</v>
      </c>
      <c r="H52" s="6" t="s">
        <v>39</v>
      </c>
      <c r="I52" s="8" t="s">
        <v>40</v>
      </c>
      <c r="J52" s="9">
        <v>1</v>
      </c>
      <c r="K52" s="9">
        <v>158</v>
      </c>
      <c r="L52" s="9">
        <v>2025</v>
      </c>
      <c r="M52" s="8" t="s">
        <v>388</v>
      </c>
      <c r="N52" s="8" t="s">
        <v>144</v>
      </c>
      <c r="O52" s="8" t="s">
        <v>145</v>
      </c>
      <c r="P52" s="6" t="s">
        <v>44</v>
      </c>
      <c r="Q52" s="8" t="s">
        <v>45</v>
      </c>
      <c r="R52" s="10" t="s">
        <v>389</v>
      </c>
      <c r="S52" s="11"/>
      <c r="T52" s="6"/>
      <c r="U52" s="24" t="str">
        <f>HYPERLINK("https://media.infra-m.ru/2188/2188192/cover/2188192.jpg", "Обложка")</f>
        <v>Обложка</v>
      </c>
      <c r="V52" s="24" t="str">
        <f>HYPERLINK("https://znanium.ru/catalog/product/2188192", "Ознакомиться")</f>
        <v>Ознакомиться</v>
      </c>
      <c r="W52" s="8" t="s">
        <v>390</v>
      </c>
      <c r="X52" s="6"/>
      <c r="Y52" s="6"/>
      <c r="Z52" s="6"/>
      <c r="AA52" s="6" t="s">
        <v>391</v>
      </c>
      <c r="AB52" s="8"/>
    </row>
    <row r="53" spans="1:28" s="4" customFormat="1" ht="51.95" customHeight="1">
      <c r="A53" s="5">
        <v>0</v>
      </c>
      <c r="B53" s="6" t="s">
        <v>392</v>
      </c>
      <c r="C53" s="7">
        <v>3528</v>
      </c>
      <c r="D53" s="8" t="s">
        <v>393</v>
      </c>
      <c r="E53" s="8" t="s">
        <v>394</v>
      </c>
      <c r="F53" s="8" t="s">
        <v>395</v>
      </c>
      <c r="G53" s="6" t="s">
        <v>96</v>
      </c>
      <c r="H53" s="6" t="s">
        <v>39</v>
      </c>
      <c r="I53" s="8" t="s">
        <v>40</v>
      </c>
      <c r="J53" s="9">
        <v>1</v>
      </c>
      <c r="K53" s="9">
        <v>597</v>
      </c>
      <c r="L53" s="9">
        <v>2026</v>
      </c>
      <c r="M53" s="8" t="s">
        <v>396</v>
      </c>
      <c r="N53" s="8" t="s">
        <v>42</v>
      </c>
      <c r="O53" s="8" t="s">
        <v>89</v>
      </c>
      <c r="P53" s="6" t="s">
        <v>44</v>
      </c>
      <c r="Q53" s="8" t="s">
        <v>45</v>
      </c>
      <c r="R53" s="10" t="s">
        <v>397</v>
      </c>
      <c r="S53" s="11"/>
      <c r="T53" s="6"/>
      <c r="U53" s="24" t="str">
        <f>HYPERLINK("https://media.infra-m.ru/2215/2215332/cover/2215332.jpg", "Обложка")</f>
        <v>Обложка</v>
      </c>
      <c r="V53" s="24" t="str">
        <f>HYPERLINK("https://znanium.ru/catalog/product/2215332", "Ознакомиться")</f>
        <v>Ознакомиться</v>
      </c>
      <c r="W53" s="8" t="s">
        <v>358</v>
      </c>
      <c r="X53" s="6"/>
      <c r="Y53" s="6"/>
      <c r="Z53" s="6"/>
      <c r="AA53" s="6" t="s">
        <v>75</v>
      </c>
      <c r="AB53" s="8"/>
    </row>
    <row r="54" spans="1:28" s="4" customFormat="1" ht="42" customHeight="1">
      <c r="A54" s="5">
        <v>0</v>
      </c>
      <c r="B54" s="6" t="s">
        <v>398</v>
      </c>
      <c r="C54" s="7">
        <v>2568</v>
      </c>
      <c r="D54" s="8" t="s">
        <v>399</v>
      </c>
      <c r="E54" s="8" t="s">
        <v>400</v>
      </c>
      <c r="F54" s="8" t="s">
        <v>401</v>
      </c>
      <c r="G54" s="6" t="s">
        <v>96</v>
      </c>
      <c r="H54" s="6" t="s">
        <v>39</v>
      </c>
      <c r="I54" s="8" t="s">
        <v>40</v>
      </c>
      <c r="J54" s="9">
        <v>1</v>
      </c>
      <c r="K54" s="9">
        <v>412</v>
      </c>
      <c r="L54" s="9">
        <v>2025</v>
      </c>
      <c r="M54" s="8" t="s">
        <v>402</v>
      </c>
      <c r="N54" s="8" t="s">
        <v>42</v>
      </c>
      <c r="O54" s="8" t="s">
        <v>104</v>
      </c>
      <c r="P54" s="6" t="s">
        <v>44</v>
      </c>
      <c r="Q54" s="8" t="s">
        <v>45</v>
      </c>
      <c r="R54" s="10" t="s">
        <v>403</v>
      </c>
      <c r="S54" s="11"/>
      <c r="T54" s="6"/>
      <c r="U54" s="24" t="str">
        <f>HYPERLINK("https://media.infra-m.ru/2199/2199966/cover/2199966.jpg", "Обложка")</f>
        <v>Обложка</v>
      </c>
      <c r="V54" s="24" t="str">
        <f>HYPERLINK("https://znanium.ru/catalog/product/2199966", "Ознакомиться")</f>
        <v>Ознакомиться</v>
      </c>
      <c r="W54" s="8" t="s">
        <v>404</v>
      </c>
      <c r="X54" s="6"/>
      <c r="Y54" s="6"/>
      <c r="Z54" s="6"/>
      <c r="AA54" s="6" t="s">
        <v>57</v>
      </c>
      <c r="AB54" s="8"/>
    </row>
    <row r="55" spans="1:28" s="4" customFormat="1" ht="42" customHeight="1">
      <c r="A55" s="5">
        <v>0</v>
      </c>
      <c r="B55" s="6" t="s">
        <v>405</v>
      </c>
      <c r="C55" s="7">
        <v>1636.8</v>
      </c>
      <c r="D55" s="8" t="s">
        <v>406</v>
      </c>
      <c r="E55" s="8" t="s">
        <v>407</v>
      </c>
      <c r="F55" s="8" t="s">
        <v>408</v>
      </c>
      <c r="G55" s="6" t="s">
        <v>38</v>
      </c>
      <c r="H55" s="6" t="s">
        <v>39</v>
      </c>
      <c r="I55" s="8" t="s">
        <v>40</v>
      </c>
      <c r="J55" s="9">
        <v>1</v>
      </c>
      <c r="K55" s="9">
        <v>257</v>
      </c>
      <c r="L55" s="9">
        <v>2026</v>
      </c>
      <c r="M55" s="8" t="s">
        <v>409</v>
      </c>
      <c r="N55" s="8" t="s">
        <v>42</v>
      </c>
      <c r="O55" s="8" t="s">
        <v>104</v>
      </c>
      <c r="P55" s="6" t="s">
        <v>44</v>
      </c>
      <c r="Q55" s="8" t="s">
        <v>45</v>
      </c>
      <c r="R55" s="10" t="s">
        <v>410</v>
      </c>
      <c r="S55" s="11"/>
      <c r="T55" s="6"/>
      <c r="U55" s="24" t="str">
        <f>HYPERLINK("https://media.infra-m.ru/2220/2220326/cover/2220326.jpg", "Обложка")</f>
        <v>Обложка</v>
      </c>
      <c r="V55" s="24" t="str">
        <f>HYPERLINK("https://znanium.ru/catalog/product/1039637", "Ознакомиться")</f>
        <v>Ознакомиться</v>
      </c>
      <c r="W55" s="8" t="s">
        <v>411</v>
      </c>
      <c r="X55" s="6"/>
      <c r="Y55" s="6"/>
      <c r="Z55" s="6"/>
      <c r="AA55" s="6" t="s">
        <v>412</v>
      </c>
      <c r="AB55" s="8"/>
    </row>
    <row r="56" spans="1:28" s="4" customFormat="1" ht="42" customHeight="1">
      <c r="A56" s="5">
        <v>0</v>
      </c>
      <c r="B56" s="6" t="s">
        <v>413</v>
      </c>
      <c r="C56" s="13">
        <v>372</v>
      </c>
      <c r="D56" s="8" t="s">
        <v>414</v>
      </c>
      <c r="E56" s="8" t="s">
        <v>415</v>
      </c>
      <c r="F56" s="8" t="s">
        <v>408</v>
      </c>
      <c r="G56" s="6" t="s">
        <v>38</v>
      </c>
      <c r="H56" s="6" t="s">
        <v>39</v>
      </c>
      <c r="I56" s="8" t="s">
        <v>40</v>
      </c>
      <c r="J56" s="9">
        <v>1</v>
      </c>
      <c r="K56" s="9">
        <v>99</v>
      </c>
      <c r="L56" s="9">
        <v>2018</v>
      </c>
      <c r="M56" s="8" t="s">
        <v>416</v>
      </c>
      <c r="N56" s="8" t="s">
        <v>42</v>
      </c>
      <c r="O56" s="8" t="s">
        <v>104</v>
      </c>
      <c r="P56" s="6" t="s">
        <v>44</v>
      </c>
      <c r="Q56" s="8" t="s">
        <v>45</v>
      </c>
      <c r="R56" s="10" t="s">
        <v>410</v>
      </c>
      <c r="S56" s="11"/>
      <c r="T56" s="6"/>
      <c r="U56" s="24" t="str">
        <f>HYPERLINK("https://media.infra-m.ru/0962/0962580/cover/962580.jpg", "Обложка")</f>
        <v>Обложка</v>
      </c>
      <c r="V56" s="24" t="str">
        <f>HYPERLINK("https://znanium.ru/catalog/product/1039637", "Ознакомиться")</f>
        <v>Ознакомиться</v>
      </c>
      <c r="W56" s="8" t="s">
        <v>411</v>
      </c>
      <c r="X56" s="6"/>
      <c r="Y56" s="6"/>
      <c r="Z56" s="6"/>
      <c r="AA56" s="6" t="s">
        <v>138</v>
      </c>
      <c r="AB56" s="8"/>
    </row>
    <row r="57" spans="1:28" s="4" customFormat="1" ht="42" customHeight="1">
      <c r="A57" s="5">
        <v>0</v>
      </c>
      <c r="B57" s="6" t="s">
        <v>417</v>
      </c>
      <c r="C57" s="7">
        <v>2272.8000000000002</v>
      </c>
      <c r="D57" s="8" t="s">
        <v>418</v>
      </c>
      <c r="E57" s="8" t="s">
        <v>419</v>
      </c>
      <c r="F57" s="8" t="s">
        <v>420</v>
      </c>
      <c r="G57" s="6" t="s">
        <v>62</v>
      </c>
      <c r="H57" s="6" t="s">
        <v>39</v>
      </c>
      <c r="I57" s="8" t="s">
        <v>421</v>
      </c>
      <c r="J57" s="9">
        <v>1</v>
      </c>
      <c r="K57" s="9">
        <v>358</v>
      </c>
      <c r="L57" s="9">
        <v>2026</v>
      </c>
      <c r="M57" s="8" t="s">
        <v>422</v>
      </c>
      <c r="N57" s="8" t="s">
        <v>423</v>
      </c>
      <c r="O57" s="8" t="s">
        <v>424</v>
      </c>
      <c r="P57" s="6" t="s">
        <v>425</v>
      </c>
      <c r="Q57" s="8" t="s">
        <v>426</v>
      </c>
      <c r="R57" s="10" t="s">
        <v>427</v>
      </c>
      <c r="S57" s="11"/>
      <c r="T57" s="6"/>
      <c r="U57" s="24" t="str">
        <f>HYPERLINK("https://media.infra-m.ru/2212/2212249/cover/2212249.jpg", "Обложка")</f>
        <v>Обложка</v>
      </c>
      <c r="V57" s="24" t="str">
        <f>HYPERLINK("https://znanium.ru/catalog/product/2230298", "Ознакомиться")</f>
        <v>Ознакомиться</v>
      </c>
      <c r="W57" s="8" t="s">
        <v>428</v>
      </c>
      <c r="X57" s="6"/>
      <c r="Y57" s="6"/>
      <c r="Z57" s="6"/>
      <c r="AA57" s="6" t="s">
        <v>360</v>
      </c>
      <c r="AB57" s="8"/>
    </row>
    <row r="58" spans="1:28" s="4" customFormat="1" ht="42" customHeight="1">
      <c r="A58" s="5">
        <v>0</v>
      </c>
      <c r="B58" s="6" t="s">
        <v>429</v>
      </c>
      <c r="C58" s="7">
        <v>2706</v>
      </c>
      <c r="D58" s="8" t="s">
        <v>430</v>
      </c>
      <c r="E58" s="8" t="s">
        <v>431</v>
      </c>
      <c r="F58" s="8"/>
      <c r="G58" s="6" t="s">
        <v>38</v>
      </c>
      <c r="H58" s="6" t="s">
        <v>39</v>
      </c>
      <c r="I58" s="8"/>
      <c r="J58" s="9">
        <v>1</v>
      </c>
      <c r="K58" s="9">
        <v>62</v>
      </c>
      <c r="L58" s="9">
        <v>2024</v>
      </c>
      <c r="M58" s="8"/>
      <c r="N58" s="8" t="s">
        <v>119</v>
      </c>
      <c r="O58" s="8" t="s">
        <v>432</v>
      </c>
      <c r="P58" s="6" t="s">
        <v>121</v>
      </c>
      <c r="Q58" s="8"/>
      <c r="R58" s="10"/>
      <c r="S58" s="11"/>
      <c r="T58" s="6"/>
      <c r="U58" s="24" t="str">
        <f>HYPERLINK("https://media.infra-m.ru/2089/2089357/cover/2089357.jpg", "Обложка")</f>
        <v>Обложка</v>
      </c>
      <c r="V58" s="24" t="str">
        <f>HYPERLINK("https://znanium.ru/catalog/product/2174179", "Ознакомиться")</f>
        <v>Ознакомиться</v>
      </c>
      <c r="W58" s="8"/>
      <c r="X58" s="6"/>
      <c r="Y58" s="6"/>
      <c r="Z58" s="6"/>
      <c r="AA58" s="6" t="s">
        <v>273</v>
      </c>
      <c r="AB58" s="8"/>
    </row>
    <row r="59" spans="1:28" s="4" customFormat="1" ht="42" customHeight="1">
      <c r="A59" s="5">
        <v>0</v>
      </c>
      <c r="B59" s="6" t="s">
        <v>433</v>
      </c>
      <c r="C59" s="7">
        <v>2706</v>
      </c>
      <c r="D59" s="8" t="s">
        <v>434</v>
      </c>
      <c r="E59" s="8" t="s">
        <v>435</v>
      </c>
      <c r="F59" s="8"/>
      <c r="G59" s="6" t="s">
        <v>38</v>
      </c>
      <c r="H59" s="6" t="s">
        <v>39</v>
      </c>
      <c r="I59" s="8"/>
      <c r="J59" s="9">
        <v>1</v>
      </c>
      <c r="K59" s="9">
        <v>64</v>
      </c>
      <c r="L59" s="9">
        <v>2025</v>
      </c>
      <c r="M59" s="8"/>
      <c r="N59" s="8" t="s">
        <v>119</v>
      </c>
      <c r="O59" s="8" t="s">
        <v>432</v>
      </c>
      <c r="P59" s="6" t="s">
        <v>121</v>
      </c>
      <c r="Q59" s="8"/>
      <c r="R59" s="10"/>
      <c r="S59" s="11"/>
      <c r="T59" s="6"/>
      <c r="U59" s="24" t="str">
        <f>HYPERLINK("https://media.infra-m.ru/2174/2174179/cover/2174179.jpg", "Обложка")</f>
        <v>Обложка</v>
      </c>
      <c r="V59" s="24" t="str">
        <f>HYPERLINK("https://znanium.ru/catalog/product/2174179", "Ознакомиться")</f>
        <v>Ознакомиться</v>
      </c>
      <c r="W59" s="8"/>
      <c r="X59" s="6" t="s">
        <v>436</v>
      </c>
      <c r="Y59" s="6"/>
      <c r="Z59" s="6"/>
      <c r="AA59" s="6" t="s">
        <v>48</v>
      </c>
      <c r="AB59" s="8"/>
    </row>
    <row r="60" spans="1:28" s="4" customFormat="1" ht="51.95" customHeight="1">
      <c r="A60" s="5">
        <v>0</v>
      </c>
      <c r="B60" s="6" t="s">
        <v>437</v>
      </c>
      <c r="C60" s="7">
        <v>1024.8</v>
      </c>
      <c r="D60" s="8" t="s">
        <v>438</v>
      </c>
      <c r="E60" s="8" t="s">
        <v>439</v>
      </c>
      <c r="F60" s="8" t="s">
        <v>297</v>
      </c>
      <c r="G60" s="6" t="s">
        <v>62</v>
      </c>
      <c r="H60" s="6" t="s">
        <v>39</v>
      </c>
      <c r="I60" s="8" t="s">
        <v>40</v>
      </c>
      <c r="J60" s="9">
        <v>1</v>
      </c>
      <c r="K60" s="9">
        <v>187</v>
      </c>
      <c r="L60" s="9">
        <v>2023</v>
      </c>
      <c r="M60" s="8" t="s">
        <v>440</v>
      </c>
      <c r="N60" s="8" t="s">
        <v>42</v>
      </c>
      <c r="O60" s="8" t="s">
        <v>43</v>
      </c>
      <c r="P60" s="6" t="s">
        <v>44</v>
      </c>
      <c r="Q60" s="8" t="s">
        <v>180</v>
      </c>
      <c r="R60" s="10" t="s">
        <v>441</v>
      </c>
      <c r="S60" s="11"/>
      <c r="T60" s="6"/>
      <c r="U60" s="24" t="str">
        <f>HYPERLINK("https://media.infra-m.ru/2006/2006083/cover/2006083.jpg", "Обложка")</f>
        <v>Обложка</v>
      </c>
      <c r="V60" s="24" t="str">
        <f>HYPERLINK("https://znanium.ru/catalog/product/1541979", "Ознакомиться")</f>
        <v>Ознакомиться</v>
      </c>
      <c r="W60" s="8" t="s">
        <v>241</v>
      </c>
      <c r="X60" s="6"/>
      <c r="Y60" s="6"/>
      <c r="Z60" s="6"/>
      <c r="AA60" s="6" t="s">
        <v>213</v>
      </c>
      <c r="AB60" s="8"/>
    </row>
    <row r="61" spans="1:28" s="4" customFormat="1" ht="42" customHeight="1">
      <c r="A61" s="5">
        <v>0</v>
      </c>
      <c r="B61" s="6" t="s">
        <v>442</v>
      </c>
      <c r="C61" s="13">
        <v>840</v>
      </c>
      <c r="D61" s="8" t="s">
        <v>443</v>
      </c>
      <c r="E61" s="8" t="s">
        <v>444</v>
      </c>
      <c r="F61" s="8" t="s">
        <v>291</v>
      </c>
      <c r="G61" s="6" t="s">
        <v>38</v>
      </c>
      <c r="H61" s="6" t="s">
        <v>39</v>
      </c>
      <c r="I61" s="8" t="s">
        <v>40</v>
      </c>
      <c r="J61" s="9">
        <v>1</v>
      </c>
      <c r="K61" s="9">
        <v>155</v>
      </c>
      <c r="L61" s="9">
        <v>2023</v>
      </c>
      <c r="M61" s="8" t="s">
        <v>445</v>
      </c>
      <c r="N61" s="8" t="s">
        <v>42</v>
      </c>
      <c r="O61" s="8" t="s">
        <v>72</v>
      </c>
      <c r="P61" s="6" t="s">
        <v>44</v>
      </c>
      <c r="Q61" s="8" t="s">
        <v>45</v>
      </c>
      <c r="R61" s="10" t="s">
        <v>446</v>
      </c>
      <c r="S61" s="11"/>
      <c r="T61" s="6"/>
      <c r="U61" s="24" t="str">
        <f>HYPERLINK("https://media.infra-m.ru/1873/1873769/cover/1873769.jpg", "Обложка")</f>
        <v>Обложка</v>
      </c>
      <c r="V61" s="24" t="str">
        <f>HYPERLINK("https://znanium.ru/catalog/product/1873769", "Ознакомиться")</f>
        <v>Ознакомиться</v>
      </c>
      <c r="W61" s="8" t="s">
        <v>293</v>
      </c>
      <c r="X61" s="6"/>
      <c r="Y61" s="6"/>
      <c r="Z61" s="6"/>
      <c r="AA61" s="6" t="s">
        <v>57</v>
      </c>
      <c r="AB61" s="8"/>
    </row>
    <row r="62" spans="1:28" s="4" customFormat="1" ht="51.95" customHeight="1">
      <c r="A62" s="5">
        <v>0</v>
      </c>
      <c r="B62" s="6" t="s">
        <v>447</v>
      </c>
      <c r="C62" s="7">
        <v>1795.2</v>
      </c>
      <c r="D62" s="8" t="s">
        <v>448</v>
      </c>
      <c r="E62" s="8" t="s">
        <v>449</v>
      </c>
      <c r="F62" s="8"/>
      <c r="G62" s="6" t="s">
        <v>38</v>
      </c>
      <c r="H62" s="6" t="s">
        <v>39</v>
      </c>
      <c r="I62" s="8"/>
      <c r="J62" s="9">
        <v>1</v>
      </c>
      <c r="K62" s="9">
        <v>68</v>
      </c>
      <c r="L62" s="9">
        <v>2020</v>
      </c>
      <c r="M62" s="8"/>
      <c r="N62" s="8" t="s">
        <v>423</v>
      </c>
      <c r="O62" s="8" t="s">
        <v>450</v>
      </c>
      <c r="P62" s="6" t="s">
        <v>121</v>
      </c>
      <c r="Q62" s="8" t="s">
        <v>45</v>
      </c>
      <c r="R62" s="10" t="s">
        <v>451</v>
      </c>
      <c r="S62" s="11"/>
      <c r="T62" s="6"/>
      <c r="U62" s="24" t="str">
        <f>HYPERLINK("https://media.infra-m.ru/1176/1176842/cover/1176842.jpg", "Обложка")</f>
        <v>Обложка</v>
      </c>
      <c r="V62" s="24" t="str">
        <f>HYPERLINK("https://znanium.ru/catalog/product/501724", "Ознакомиться")</f>
        <v>Ознакомиться</v>
      </c>
      <c r="W62" s="8"/>
      <c r="X62" s="6"/>
      <c r="Y62" s="6"/>
      <c r="Z62" s="6"/>
      <c r="AA62" s="6"/>
      <c r="AB62" s="8"/>
    </row>
    <row r="63" spans="1:28" s="4" customFormat="1" ht="42" customHeight="1">
      <c r="A63" s="5">
        <v>0</v>
      </c>
      <c r="B63" s="6" t="s">
        <v>452</v>
      </c>
      <c r="C63" s="7">
        <v>1032</v>
      </c>
      <c r="D63" s="8" t="s">
        <v>453</v>
      </c>
      <c r="E63" s="8" t="s">
        <v>454</v>
      </c>
      <c r="F63" s="8" t="s">
        <v>455</v>
      </c>
      <c r="G63" s="6" t="s">
        <v>62</v>
      </c>
      <c r="H63" s="6" t="s">
        <v>39</v>
      </c>
      <c r="I63" s="8" t="s">
        <v>456</v>
      </c>
      <c r="J63" s="9">
        <v>1</v>
      </c>
      <c r="K63" s="9">
        <v>160</v>
      </c>
      <c r="L63" s="9">
        <v>2026</v>
      </c>
      <c r="M63" s="8" t="s">
        <v>457</v>
      </c>
      <c r="N63" s="8" t="s">
        <v>119</v>
      </c>
      <c r="O63" s="8" t="s">
        <v>458</v>
      </c>
      <c r="P63" s="6" t="s">
        <v>459</v>
      </c>
      <c r="Q63" s="8" t="s">
        <v>45</v>
      </c>
      <c r="R63" s="10" t="s">
        <v>460</v>
      </c>
      <c r="S63" s="11"/>
      <c r="T63" s="6"/>
      <c r="U63" s="24" t="str">
        <f>HYPERLINK("https://media.infra-m.ru/2212/2212340/cover/2212340.jpg", "Обложка")</f>
        <v>Обложка</v>
      </c>
      <c r="V63" s="24" t="str">
        <f>HYPERLINK("https://znanium.ru/catalog/product/2212340", "Ознакомиться")</f>
        <v>Ознакомиться</v>
      </c>
      <c r="W63" s="8" t="s">
        <v>461</v>
      </c>
      <c r="X63" s="6"/>
      <c r="Y63" s="6"/>
      <c r="Z63" s="6"/>
      <c r="AA63" s="6" t="s">
        <v>227</v>
      </c>
      <c r="AB63" s="8"/>
    </row>
    <row r="64" spans="1:28" s="4" customFormat="1" ht="51.95" customHeight="1">
      <c r="A64" s="5">
        <v>0</v>
      </c>
      <c r="B64" s="6" t="s">
        <v>462</v>
      </c>
      <c r="C64" s="13">
        <v>436.8</v>
      </c>
      <c r="D64" s="8" t="s">
        <v>463</v>
      </c>
      <c r="E64" s="8" t="s">
        <v>464</v>
      </c>
      <c r="F64" s="8" t="s">
        <v>465</v>
      </c>
      <c r="G64" s="6" t="s">
        <v>38</v>
      </c>
      <c r="H64" s="6" t="s">
        <v>466</v>
      </c>
      <c r="I64" s="8"/>
      <c r="J64" s="9">
        <v>1</v>
      </c>
      <c r="K64" s="9">
        <v>72</v>
      </c>
      <c r="L64" s="9">
        <v>2024</v>
      </c>
      <c r="M64" s="8" t="s">
        <v>467</v>
      </c>
      <c r="N64" s="8" t="s">
        <v>42</v>
      </c>
      <c r="O64" s="8" t="s">
        <v>43</v>
      </c>
      <c r="P64" s="6" t="s">
        <v>179</v>
      </c>
      <c r="Q64" s="8" t="s">
        <v>200</v>
      </c>
      <c r="R64" s="10" t="s">
        <v>468</v>
      </c>
      <c r="S64" s="11"/>
      <c r="T64" s="6"/>
      <c r="U64" s="24" t="str">
        <f>HYPERLINK("https://media.infra-m.ru/2083/2083306/cover/2083306.jpg", "Обложка")</f>
        <v>Обложка</v>
      </c>
      <c r="V64" s="24" t="str">
        <f>HYPERLINK("https://znanium.ru/catalog/product/1843638", "Ознакомиться")</f>
        <v>Ознакомиться</v>
      </c>
      <c r="W64" s="8" t="s">
        <v>469</v>
      </c>
      <c r="X64" s="6"/>
      <c r="Y64" s="6"/>
      <c r="Z64" s="6"/>
      <c r="AA64" s="6" t="s">
        <v>470</v>
      </c>
      <c r="AB64" s="8"/>
    </row>
    <row r="65" spans="1:28" s="4" customFormat="1" ht="51.95" customHeight="1">
      <c r="A65" s="5">
        <v>0</v>
      </c>
      <c r="B65" s="6" t="s">
        <v>471</v>
      </c>
      <c r="C65" s="7">
        <v>2392.8000000000002</v>
      </c>
      <c r="D65" s="8" t="s">
        <v>472</v>
      </c>
      <c r="E65" s="8" t="s">
        <v>473</v>
      </c>
      <c r="F65" s="8" t="s">
        <v>474</v>
      </c>
      <c r="G65" s="6" t="s">
        <v>96</v>
      </c>
      <c r="H65" s="6" t="s">
        <v>39</v>
      </c>
      <c r="I65" s="8" t="s">
        <v>365</v>
      </c>
      <c r="J65" s="9">
        <v>1</v>
      </c>
      <c r="K65" s="9">
        <v>388</v>
      </c>
      <c r="L65" s="9">
        <v>2026</v>
      </c>
      <c r="M65" s="8" t="s">
        <v>475</v>
      </c>
      <c r="N65" s="8" t="s">
        <v>423</v>
      </c>
      <c r="O65" s="8" t="s">
        <v>476</v>
      </c>
      <c r="P65" s="6" t="s">
        <v>477</v>
      </c>
      <c r="Q65" s="8" t="s">
        <v>200</v>
      </c>
      <c r="R65" s="10" t="s">
        <v>478</v>
      </c>
      <c r="S65" s="11" t="s">
        <v>479</v>
      </c>
      <c r="T65" s="6"/>
      <c r="U65" s="24" t="str">
        <f>HYPERLINK("https://media.infra-m.ru/2224/2224191/cover/2224191.jpg", "Обложка")</f>
        <v>Обложка</v>
      </c>
      <c r="V65" s="24" t="str">
        <f>HYPERLINK("https://znanium.ru/catalog/product/1181042", "Ознакомиться")</f>
        <v>Ознакомиться</v>
      </c>
      <c r="W65" s="8" t="s">
        <v>480</v>
      </c>
      <c r="X65" s="6"/>
      <c r="Y65" s="6"/>
      <c r="Z65" s="6"/>
      <c r="AA65" s="6" t="s">
        <v>264</v>
      </c>
      <c r="AB65" s="8"/>
    </row>
    <row r="66" spans="1:28" s="4" customFormat="1" ht="42" customHeight="1">
      <c r="A66" s="5">
        <v>0</v>
      </c>
      <c r="B66" s="6" t="s">
        <v>481</v>
      </c>
      <c r="C66" s="7">
        <v>1336.8</v>
      </c>
      <c r="D66" s="8" t="s">
        <v>482</v>
      </c>
      <c r="E66" s="8" t="s">
        <v>483</v>
      </c>
      <c r="F66" s="8" t="s">
        <v>53</v>
      </c>
      <c r="G66" s="6" t="s">
        <v>38</v>
      </c>
      <c r="H66" s="6" t="s">
        <v>39</v>
      </c>
      <c r="I66" s="8" t="s">
        <v>40</v>
      </c>
      <c r="J66" s="9">
        <v>1</v>
      </c>
      <c r="K66" s="9">
        <v>233</v>
      </c>
      <c r="L66" s="9">
        <v>2024</v>
      </c>
      <c r="M66" s="8" t="s">
        <v>484</v>
      </c>
      <c r="N66" s="8" t="s">
        <v>42</v>
      </c>
      <c r="O66" s="8" t="s">
        <v>43</v>
      </c>
      <c r="P66" s="6" t="s">
        <v>44</v>
      </c>
      <c r="Q66" s="8" t="s">
        <v>45</v>
      </c>
      <c r="R66" s="10" t="s">
        <v>485</v>
      </c>
      <c r="S66" s="11"/>
      <c r="T66" s="6"/>
      <c r="U66" s="24" t="str">
        <f>HYPERLINK("https://media.infra-m.ru/2136/2136049/cover/2136049.jpg", "Обложка")</f>
        <v>Обложка</v>
      </c>
      <c r="V66" s="24" t="str">
        <f>HYPERLINK("https://znanium.ru/catalog/product/2067399", "Ознакомиться")</f>
        <v>Ознакомиться</v>
      </c>
      <c r="W66" s="8" t="s">
        <v>56</v>
      </c>
      <c r="X66" s="6"/>
      <c r="Y66" s="6"/>
      <c r="Z66" s="6"/>
      <c r="AA66" s="6" t="s">
        <v>91</v>
      </c>
      <c r="AB66" s="8" t="s">
        <v>486</v>
      </c>
    </row>
    <row r="67" spans="1:28" s="4" customFormat="1" ht="44.1" customHeight="1">
      <c r="A67" s="5">
        <v>0</v>
      </c>
      <c r="B67" s="6" t="s">
        <v>487</v>
      </c>
      <c r="C67" s="7">
        <v>3596.4</v>
      </c>
      <c r="D67" s="8" t="s">
        <v>488</v>
      </c>
      <c r="E67" s="8" t="s">
        <v>489</v>
      </c>
      <c r="F67" s="8" t="s">
        <v>490</v>
      </c>
      <c r="G67" s="6" t="s">
        <v>96</v>
      </c>
      <c r="H67" s="6" t="s">
        <v>39</v>
      </c>
      <c r="I67" s="8" t="s">
        <v>340</v>
      </c>
      <c r="J67" s="9">
        <v>1</v>
      </c>
      <c r="K67" s="9">
        <v>726</v>
      </c>
      <c r="L67" s="9">
        <v>2026</v>
      </c>
      <c r="M67" s="8" t="s">
        <v>491</v>
      </c>
      <c r="N67" s="8" t="s">
        <v>42</v>
      </c>
      <c r="O67" s="8" t="s">
        <v>43</v>
      </c>
      <c r="P67" s="6" t="s">
        <v>271</v>
      </c>
      <c r="Q67" s="8" t="s">
        <v>45</v>
      </c>
      <c r="R67" s="10" t="s">
        <v>492</v>
      </c>
      <c r="S67" s="11"/>
      <c r="T67" s="6"/>
      <c r="U67" s="24" t="str">
        <f>HYPERLINK("https://media.infra-m.ru/2214/2214963/cover/2214963.jpg", "Обложка")</f>
        <v>Обложка</v>
      </c>
      <c r="V67" s="24" t="str">
        <f>HYPERLINK("https://znanium.ru/catalog/product/1031524", "Ознакомиться")</f>
        <v>Ознакомиться</v>
      </c>
      <c r="W67" s="8" t="s">
        <v>493</v>
      </c>
      <c r="X67" s="6"/>
      <c r="Y67" s="6"/>
      <c r="Z67" s="6"/>
      <c r="AA67" s="6" t="s">
        <v>494</v>
      </c>
      <c r="AB67" s="8"/>
    </row>
    <row r="68" spans="1:28" s="4" customFormat="1" ht="51.95" customHeight="1">
      <c r="A68" s="5">
        <v>0</v>
      </c>
      <c r="B68" s="6" t="s">
        <v>495</v>
      </c>
      <c r="C68" s="13">
        <v>616.79999999999995</v>
      </c>
      <c r="D68" s="8" t="s">
        <v>496</v>
      </c>
      <c r="E68" s="8" t="s">
        <v>497</v>
      </c>
      <c r="F68" s="8" t="s">
        <v>291</v>
      </c>
      <c r="G68" s="6" t="s">
        <v>38</v>
      </c>
      <c r="H68" s="6" t="s">
        <v>39</v>
      </c>
      <c r="I68" s="8" t="s">
        <v>40</v>
      </c>
      <c r="J68" s="9">
        <v>1</v>
      </c>
      <c r="K68" s="9">
        <v>115</v>
      </c>
      <c r="L68" s="9">
        <v>2023</v>
      </c>
      <c r="M68" s="8" t="s">
        <v>498</v>
      </c>
      <c r="N68" s="8" t="s">
        <v>42</v>
      </c>
      <c r="O68" s="8" t="s">
        <v>72</v>
      </c>
      <c r="P68" s="6" t="s">
        <v>44</v>
      </c>
      <c r="Q68" s="8" t="s">
        <v>45</v>
      </c>
      <c r="R68" s="10" t="s">
        <v>499</v>
      </c>
      <c r="S68" s="11"/>
      <c r="T68" s="6"/>
      <c r="U68" s="24" t="str">
        <f>HYPERLINK("https://media.infra-m.ru/1859/1859805/cover/1859805.jpg", "Обложка")</f>
        <v>Обложка</v>
      </c>
      <c r="V68" s="24" t="str">
        <f>HYPERLINK("https://znanium.ru/catalog/product/1081969", "Ознакомиться")</f>
        <v>Ознакомиться</v>
      </c>
      <c r="W68" s="8" t="s">
        <v>293</v>
      </c>
      <c r="X68" s="6"/>
      <c r="Y68" s="6"/>
      <c r="Z68" s="6"/>
      <c r="AA68" s="6" t="s">
        <v>227</v>
      </c>
      <c r="AB68" s="8"/>
    </row>
    <row r="69" spans="1:28" s="4" customFormat="1" ht="42" customHeight="1">
      <c r="A69" s="5">
        <v>0</v>
      </c>
      <c r="B69" s="6" t="s">
        <v>500</v>
      </c>
      <c r="C69" s="7">
        <v>1060.8</v>
      </c>
      <c r="D69" s="8" t="s">
        <v>501</v>
      </c>
      <c r="E69" s="8" t="s">
        <v>502</v>
      </c>
      <c r="F69" s="8" t="s">
        <v>503</v>
      </c>
      <c r="G69" s="6" t="s">
        <v>62</v>
      </c>
      <c r="H69" s="6" t="s">
        <v>39</v>
      </c>
      <c r="I69" s="8"/>
      <c r="J69" s="9">
        <v>1</v>
      </c>
      <c r="K69" s="9">
        <v>176</v>
      </c>
      <c r="L69" s="9">
        <v>2024</v>
      </c>
      <c r="M69" s="8" t="s">
        <v>504</v>
      </c>
      <c r="N69" s="8" t="s">
        <v>119</v>
      </c>
      <c r="O69" s="8" t="s">
        <v>120</v>
      </c>
      <c r="P69" s="6" t="s">
        <v>425</v>
      </c>
      <c r="Q69" s="8" t="s">
        <v>45</v>
      </c>
      <c r="R69" s="10" t="s">
        <v>170</v>
      </c>
      <c r="S69" s="11"/>
      <c r="T69" s="6"/>
      <c r="U69" s="24" t="str">
        <f>HYPERLINK("https://media.infra-m.ru/2085/2085097/cover/2085097.jpg", "Обложка")</f>
        <v>Обложка</v>
      </c>
      <c r="V69" s="24" t="str">
        <f>HYPERLINK("https://znanium.ru/catalog/product/1895645", "Ознакомиться")</f>
        <v>Ознакомиться</v>
      </c>
      <c r="W69" s="8" t="s">
        <v>505</v>
      </c>
      <c r="X69" s="6"/>
      <c r="Y69" s="6"/>
      <c r="Z69" s="6"/>
      <c r="AA69" s="6" t="s">
        <v>391</v>
      </c>
      <c r="AB69" s="8"/>
    </row>
    <row r="70" spans="1:28" s="4" customFormat="1" ht="44.1" customHeight="1">
      <c r="A70" s="5">
        <v>0</v>
      </c>
      <c r="B70" s="6" t="s">
        <v>506</v>
      </c>
      <c r="C70" s="7">
        <v>1824</v>
      </c>
      <c r="D70" s="8" t="s">
        <v>507</v>
      </c>
      <c r="E70" s="8" t="s">
        <v>508</v>
      </c>
      <c r="F70" s="8" t="s">
        <v>509</v>
      </c>
      <c r="G70" s="6" t="s">
        <v>62</v>
      </c>
      <c r="H70" s="6" t="s">
        <v>466</v>
      </c>
      <c r="I70" s="8"/>
      <c r="J70" s="9">
        <v>1</v>
      </c>
      <c r="K70" s="9">
        <v>336</v>
      </c>
      <c r="L70" s="9">
        <v>2023</v>
      </c>
      <c r="M70" s="8" t="s">
        <v>510</v>
      </c>
      <c r="N70" s="8" t="s">
        <v>119</v>
      </c>
      <c r="O70" s="8" t="s">
        <v>432</v>
      </c>
      <c r="P70" s="6" t="s">
        <v>154</v>
      </c>
      <c r="Q70" s="8" t="s">
        <v>200</v>
      </c>
      <c r="R70" s="10" t="s">
        <v>511</v>
      </c>
      <c r="S70" s="11"/>
      <c r="T70" s="6"/>
      <c r="U70" s="24" t="str">
        <f>HYPERLINK("https://media.infra-m.ru/1912/1912966/cover/1912966.jpg", "Обложка")</f>
        <v>Обложка</v>
      </c>
      <c r="V70" s="24" t="str">
        <f>HYPERLINK("https://znanium.ru/catalog/product/1239144", "Ознакомиться")</f>
        <v>Ознакомиться</v>
      </c>
      <c r="W70" s="8" t="s">
        <v>512</v>
      </c>
      <c r="X70" s="6"/>
      <c r="Y70" s="6"/>
      <c r="Z70" s="6"/>
      <c r="AA70" s="6" t="s">
        <v>129</v>
      </c>
      <c r="AB70" s="8"/>
    </row>
    <row r="71" spans="1:28" s="4" customFormat="1" ht="42" customHeight="1">
      <c r="A71" s="5">
        <v>0</v>
      </c>
      <c r="B71" s="6" t="s">
        <v>513</v>
      </c>
      <c r="C71" s="7">
        <v>1740</v>
      </c>
      <c r="D71" s="8" t="s">
        <v>514</v>
      </c>
      <c r="E71" s="8" t="s">
        <v>515</v>
      </c>
      <c r="F71" s="8" t="s">
        <v>516</v>
      </c>
      <c r="G71" s="6" t="s">
        <v>96</v>
      </c>
      <c r="H71" s="6" t="s">
        <v>39</v>
      </c>
      <c r="I71" s="8" t="s">
        <v>40</v>
      </c>
      <c r="J71" s="9">
        <v>1</v>
      </c>
      <c r="K71" s="9">
        <v>340</v>
      </c>
      <c r="L71" s="9">
        <v>2022</v>
      </c>
      <c r="M71" s="8" t="s">
        <v>517</v>
      </c>
      <c r="N71" s="8" t="s">
        <v>42</v>
      </c>
      <c r="O71" s="8" t="s">
        <v>43</v>
      </c>
      <c r="P71" s="6" t="s">
        <v>44</v>
      </c>
      <c r="Q71" s="8" t="s">
        <v>45</v>
      </c>
      <c r="R71" s="10" t="s">
        <v>518</v>
      </c>
      <c r="S71" s="11"/>
      <c r="T71" s="6"/>
      <c r="U71" s="24" t="str">
        <f>HYPERLINK("https://media.infra-m.ru/1841/1841827/cover/1841827.jpg", "Обложка")</f>
        <v>Обложка</v>
      </c>
      <c r="V71" s="24" t="str">
        <f>HYPERLINK("https://znanium.ru/catalog/product/1841827", "Ознакомиться")</f>
        <v>Ознакомиться</v>
      </c>
      <c r="W71" s="8" t="s">
        <v>263</v>
      </c>
      <c r="X71" s="6"/>
      <c r="Y71" s="6"/>
      <c r="Z71" s="6"/>
      <c r="AA71" s="6" t="s">
        <v>83</v>
      </c>
      <c r="AB71" s="8"/>
    </row>
    <row r="72" spans="1:28" s="4" customFormat="1" ht="42" customHeight="1">
      <c r="A72" s="5">
        <v>0</v>
      </c>
      <c r="B72" s="6" t="s">
        <v>519</v>
      </c>
      <c r="C72" s="13">
        <v>712.8</v>
      </c>
      <c r="D72" s="8" t="s">
        <v>520</v>
      </c>
      <c r="E72" s="8" t="s">
        <v>521</v>
      </c>
      <c r="F72" s="8" t="s">
        <v>522</v>
      </c>
      <c r="G72" s="6" t="s">
        <v>38</v>
      </c>
      <c r="H72" s="6" t="s">
        <v>39</v>
      </c>
      <c r="I72" s="8" t="s">
        <v>456</v>
      </c>
      <c r="J72" s="9">
        <v>1</v>
      </c>
      <c r="K72" s="9">
        <v>110</v>
      </c>
      <c r="L72" s="9">
        <v>2026</v>
      </c>
      <c r="M72" s="8" t="s">
        <v>523</v>
      </c>
      <c r="N72" s="8" t="s">
        <v>177</v>
      </c>
      <c r="O72" s="8" t="s">
        <v>524</v>
      </c>
      <c r="P72" s="6" t="s">
        <v>271</v>
      </c>
      <c r="Q72" s="8" t="s">
        <v>45</v>
      </c>
      <c r="R72" s="10" t="s">
        <v>525</v>
      </c>
      <c r="S72" s="11"/>
      <c r="T72" s="6"/>
      <c r="U72" s="24" t="str">
        <f>HYPERLINK("https://media.infra-m.ru/2213/2213198/cover/2213198.jpg", "Обложка")</f>
        <v>Обложка</v>
      </c>
      <c r="V72" s="24" t="str">
        <f>HYPERLINK("https://znanium.ru/catalog/product/2030818", "Ознакомиться")</f>
        <v>Ознакомиться</v>
      </c>
      <c r="W72" s="8" t="s">
        <v>526</v>
      </c>
      <c r="X72" s="6"/>
      <c r="Y72" s="6"/>
      <c r="Z72" s="6"/>
      <c r="AA72" s="6" t="s">
        <v>470</v>
      </c>
      <c r="AB72" s="8"/>
    </row>
    <row r="73" spans="1:28" s="4" customFormat="1" ht="51.95" customHeight="1">
      <c r="A73" s="5">
        <v>0</v>
      </c>
      <c r="B73" s="6" t="s">
        <v>527</v>
      </c>
      <c r="C73" s="13">
        <v>648</v>
      </c>
      <c r="D73" s="8" t="s">
        <v>528</v>
      </c>
      <c r="E73" s="8" t="s">
        <v>529</v>
      </c>
      <c r="F73" s="8" t="s">
        <v>530</v>
      </c>
      <c r="G73" s="6" t="s">
        <v>38</v>
      </c>
      <c r="H73" s="6" t="s">
        <v>531</v>
      </c>
      <c r="I73" s="8" t="s">
        <v>532</v>
      </c>
      <c r="J73" s="9">
        <v>1</v>
      </c>
      <c r="K73" s="9">
        <v>153</v>
      </c>
      <c r="L73" s="9">
        <v>2020</v>
      </c>
      <c r="M73" s="8" t="s">
        <v>533</v>
      </c>
      <c r="N73" s="8" t="s">
        <v>42</v>
      </c>
      <c r="O73" s="8" t="s">
        <v>72</v>
      </c>
      <c r="P73" s="6" t="s">
        <v>44</v>
      </c>
      <c r="Q73" s="8" t="s">
        <v>45</v>
      </c>
      <c r="R73" s="10" t="s">
        <v>534</v>
      </c>
      <c r="S73" s="11"/>
      <c r="T73" s="6"/>
      <c r="U73" s="24" t="str">
        <f>HYPERLINK("https://media.infra-m.ru/1070/1070331/cover/1070331.jpg", "Обложка")</f>
        <v>Обложка</v>
      </c>
      <c r="V73" s="24" t="str">
        <f>HYPERLINK("https://znanium.ru/catalog/product/1070331", "Ознакомиться")</f>
        <v>Ознакомиться</v>
      </c>
      <c r="W73" s="8" t="s">
        <v>147</v>
      </c>
      <c r="X73" s="6"/>
      <c r="Y73" s="6"/>
      <c r="Z73" s="6"/>
      <c r="AA73" s="6" t="s">
        <v>138</v>
      </c>
      <c r="AB73" s="8"/>
    </row>
    <row r="74" spans="1:28" s="4" customFormat="1" ht="51.95" customHeight="1">
      <c r="A74" s="5">
        <v>0</v>
      </c>
      <c r="B74" s="6" t="s">
        <v>535</v>
      </c>
      <c r="C74" s="7">
        <v>1444.8</v>
      </c>
      <c r="D74" s="8" t="s">
        <v>536</v>
      </c>
      <c r="E74" s="8" t="s">
        <v>537</v>
      </c>
      <c r="F74" s="8" t="s">
        <v>538</v>
      </c>
      <c r="G74" s="6" t="s">
        <v>62</v>
      </c>
      <c r="H74" s="6" t="s">
        <v>188</v>
      </c>
      <c r="I74" s="8" t="s">
        <v>539</v>
      </c>
      <c r="J74" s="9">
        <v>1</v>
      </c>
      <c r="K74" s="9">
        <v>240</v>
      </c>
      <c r="L74" s="9">
        <v>2025</v>
      </c>
      <c r="M74" s="8" t="s">
        <v>540</v>
      </c>
      <c r="N74" s="8" t="s">
        <v>177</v>
      </c>
      <c r="O74" s="8" t="s">
        <v>541</v>
      </c>
      <c r="P74" s="6" t="s">
        <v>199</v>
      </c>
      <c r="Q74" s="8" t="s">
        <v>200</v>
      </c>
      <c r="R74" s="10" t="s">
        <v>542</v>
      </c>
      <c r="S74" s="11" t="s">
        <v>543</v>
      </c>
      <c r="T74" s="6"/>
      <c r="U74" s="24" t="str">
        <f>HYPERLINK("https://media.infra-m.ru/2186/2186216/cover/2186216.jpg", "Обложка")</f>
        <v>Обложка</v>
      </c>
      <c r="V74" s="24" t="str">
        <f>HYPERLINK("https://znanium.ru/catalog/product/2178770", "Ознакомиться")</f>
        <v>Ознакомиться</v>
      </c>
      <c r="W74" s="8" t="s">
        <v>544</v>
      </c>
      <c r="X74" s="6"/>
      <c r="Y74" s="6"/>
      <c r="Z74" s="6"/>
      <c r="AA74" s="6" t="s">
        <v>545</v>
      </c>
      <c r="AB74" s="8"/>
    </row>
    <row r="75" spans="1:28" s="4" customFormat="1" ht="42" customHeight="1">
      <c r="A75" s="5">
        <v>0</v>
      </c>
      <c r="B75" s="6" t="s">
        <v>546</v>
      </c>
      <c r="C75" s="7">
        <v>1289.9000000000001</v>
      </c>
      <c r="D75" s="8" t="s">
        <v>547</v>
      </c>
      <c r="E75" s="8" t="s">
        <v>548</v>
      </c>
      <c r="F75" s="8" t="s">
        <v>260</v>
      </c>
      <c r="G75" s="6" t="s">
        <v>38</v>
      </c>
      <c r="H75" s="6" t="s">
        <v>167</v>
      </c>
      <c r="I75" s="8" t="s">
        <v>549</v>
      </c>
      <c r="J75" s="9">
        <v>10</v>
      </c>
      <c r="K75" s="9">
        <v>336</v>
      </c>
      <c r="L75" s="9">
        <v>2022</v>
      </c>
      <c r="M75" s="8" t="s">
        <v>550</v>
      </c>
      <c r="N75" s="8" t="s">
        <v>119</v>
      </c>
      <c r="O75" s="8" t="s">
        <v>120</v>
      </c>
      <c r="P75" s="6" t="s">
        <v>199</v>
      </c>
      <c r="Q75" s="8" t="s">
        <v>200</v>
      </c>
      <c r="R75" s="10" t="s">
        <v>262</v>
      </c>
      <c r="S75" s="11"/>
      <c r="T75" s="6"/>
      <c r="U75" s="24" t="str">
        <f>HYPERLINK("https://media.infra-m.ru/1834/1834662/cover/1834662.jpg", "Обложка")</f>
        <v>Обложка</v>
      </c>
      <c r="V75" s="24" t="str">
        <f>HYPERLINK("https://znanium.ru/catalog/product/1834662", "Ознакомиться")</f>
        <v>Ознакомиться</v>
      </c>
      <c r="W75" s="8" t="s">
        <v>263</v>
      </c>
      <c r="X75" s="6"/>
      <c r="Y75" s="6"/>
      <c r="Z75" s="6"/>
      <c r="AA75" s="6" t="s">
        <v>551</v>
      </c>
      <c r="AB75" s="8"/>
    </row>
    <row r="76" spans="1:28" s="4" customFormat="1" ht="51.95" customHeight="1">
      <c r="A76" s="5">
        <v>0</v>
      </c>
      <c r="B76" s="6" t="s">
        <v>552</v>
      </c>
      <c r="C76" s="7">
        <v>1444.8</v>
      </c>
      <c r="D76" s="8" t="s">
        <v>553</v>
      </c>
      <c r="E76" s="8" t="s">
        <v>554</v>
      </c>
      <c r="F76" s="8" t="s">
        <v>555</v>
      </c>
      <c r="G76" s="6" t="s">
        <v>62</v>
      </c>
      <c r="H76" s="6" t="s">
        <v>39</v>
      </c>
      <c r="I76" s="8" t="s">
        <v>40</v>
      </c>
      <c r="J76" s="9">
        <v>1</v>
      </c>
      <c r="K76" s="9">
        <v>213</v>
      </c>
      <c r="L76" s="9">
        <v>2025</v>
      </c>
      <c r="M76" s="8" t="s">
        <v>556</v>
      </c>
      <c r="N76" s="8" t="s">
        <v>144</v>
      </c>
      <c r="O76" s="8" t="s">
        <v>145</v>
      </c>
      <c r="P76" s="6" t="s">
        <v>44</v>
      </c>
      <c r="Q76" s="8" t="s">
        <v>45</v>
      </c>
      <c r="R76" s="10" t="s">
        <v>557</v>
      </c>
      <c r="S76" s="11"/>
      <c r="T76" s="6"/>
      <c r="U76" s="24" t="str">
        <f>HYPERLINK("https://media.infra-m.ru/2217/2217102/cover/2217102.jpg", "Обложка")</f>
        <v>Обложка</v>
      </c>
      <c r="V76" s="24" t="str">
        <f>HYPERLINK("https://znanium.ru/catalog/product/2211470", "Ознакомиться")</f>
        <v>Ознакомиться</v>
      </c>
      <c r="W76" s="8" t="s">
        <v>558</v>
      </c>
      <c r="X76" s="6"/>
      <c r="Y76" s="6"/>
      <c r="Z76" s="6"/>
      <c r="AA76" s="6" t="s">
        <v>48</v>
      </c>
      <c r="AB76" s="8" t="s">
        <v>559</v>
      </c>
    </row>
    <row r="77" spans="1:28" s="4" customFormat="1" ht="51.95" customHeight="1">
      <c r="A77" s="5">
        <v>0</v>
      </c>
      <c r="B77" s="6" t="s">
        <v>560</v>
      </c>
      <c r="C77" s="7">
        <v>2028</v>
      </c>
      <c r="D77" s="8" t="s">
        <v>561</v>
      </c>
      <c r="E77" s="8" t="s">
        <v>562</v>
      </c>
      <c r="F77" s="8" t="s">
        <v>563</v>
      </c>
      <c r="G77" s="6" t="s">
        <v>62</v>
      </c>
      <c r="H77" s="6" t="s">
        <v>39</v>
      </c>
      <c r="I77" s="8" t="s">
        <v>152</v>
      </c>
      <c r="J77" s="9">
        <v>1</v>
      </c>
      <c r="K77" s="9">
        <v>366</v>
      </c>
      <c r="L77" s="9">
        <v>2023</v>
      </c>
      <c r="M77" s="8" t="s">
        <v>564</v>
      </c>
      <c r="N77" s="8" t="s">
        <v>177</v>
      </c>
      <c r="O77" s="8" t="s">
        <v>565</v>
      </c>
      <c r="P77" s="6" t="s">
        <v>179</v>
      </c>
      <c r="Q77" s="8" t="s">
        <v>45</v>
      </c>
      <c r="R77" s="10" t="s">
        <v>566</v>
      </c>
      <c r="S77" s="11" t="s">
        <v>567</v>
      </c>
      <c r="T77" s="6"/>
      <c r="U77" s="24" t="str">
        <f>HYPERLINK("https://media.infra-m.ru/2127/2127014/cover/2127014.jpg", "Обложка")</f>
        <v>Обложка</v>
      </c>
      <c r="V77" s="24" t="str">
        <f>HYPERLINK("https://znanium.ru/catalog/product/2127014", "Ознакомиться")</f>
        <v>Ознакомиться</v>
      </c>
      <c r="W77" s="8" t="s">
        <v>568</v>
      </c>
      <c r="X77" s="6"/>
      <c r="Y77" s="6"/>
      <c r="Z77" s="6"/>
      <c r="AA77" s="6" t="s">
        <v>227</v>
      </c>
      <c r="AB77" s="8"/>
    </row>
    <row r="78" spans="1:28" s="4" customFormat="1" ht="51.95" customHeight="1">
      <c r="A78" s="5">
        <v>0</v>
      </c>
      <c r="B78" s="6" t="s">
        <v>569</v>
      </c>
      <c r="C78" s="7">
        <v>1720.8</v>
      </c>
      <c r="D78" s="8" t="s">
        <v>570</v>
      </c>
      <c r="E78" s="8" t="s">
        <v>571</v>
      </c>
      <c r="F78" s="8" t="s">
        <v>572</v>
      </c>
      <c r="G78" s="6" t="s">
        <v>96</v>
      </c>
      <c r="H78" s="6" t="s">
        <v>39</v>
      </c>
      <c r="I78" s="8" t="s">
        <v>40</v>
      </c>
      <c r="J78" s="9">
        <v>1</v>
      </c>
      <c r="K78" s="9">
        <v>276</v>
      </c>
      <c r="L78" s="9">
        <v>2025</v>
      </c>
      <c r="M78" s="8" t="s">
        <v>573</v>
      </c>
      <c r="N78" s="8" t="s">
        <v>144</v>
      </c>
      <c r="O78" s="8" t="s">
        <v>145</v>
      </c>
      <c r="P78" s="6" t="s">
        <v>44</v>
      </c>
      <c r="Q78" s="8" t="s">
        <v>45</v>
      </c>
      <c r="R78" s="10" t="s">
        <v>574</v>
      </c>
      <c r="S78" s="11"/>
      <c r="T78" s="6"/>
      <c r="U78" s="24" t="str">
        <f>HYPERLINK("https://media.infra-m.ru/2210/2210356/cover/2210356.jpg", "Обложка")</f>
        <v>Обложка</v>
      </c>
      <c r="V78" s="24" t="str">
        <f>HYPERLINK("https://znanium.ru/catalog/product/1020779", "Ознакомиться")</f>
        <v>Ознакомиться</v>
      </c>
      <c r="W78" s="8" t="s">
        <v>558</v>
      </c>
      <c r="X78" s="6"/>
      <c r="Y78" s="6"/>
      <c r="Z78" s="6"/>
      <c r="AA78" s="6" t="s">
        <v>57</v>
      </c>
      <c r="AB78" s="8"/>
    </row>
    <row r="79" spans="1:28" s="4" customFormat="1" ht="42" customHeight="1">
      <c r="A79" s="5">
        <v>0</v>
      </c>
      <c r="B79" s="6" t="s">
        <v>575</v>
      </c>
      <c r="C79" s="7">
        <v>1188</v>
      </c>
      <c r="D79" s="8" t="s">
        <v>576</v>
      </c>
      <c r="E79" s="8" t="s">
        <v>577</v>
      </c>
      <c r="F79" s="8" t="s">
        <v>578</v>
      </c>
      <c r="G79" s="6" t="s">
        <v>62</v>
      </c>
      <c r="H79" s="6" t="s">
        <v>39</v>
      </c>
      <c r="I79" s="8" t="s">
        <v>579</v>
      </c>
      <c r="J79" s="9">
        <v>1</v>
      </c>
      <c r="K79" s="9">
        <v>190</v>
      </c>
      <c r="L79" s="9">
        <v>2025</v>
      </c>
      <c r="M79" s="8" t="s">
        <v>580</v>
      </c>
      <c r="N79" s="8" t="s">
        <v>42</v>
      </c>
      <c r="O79" s="8" t="s">
        <v>72</v>
      </c>
      <c r="P79" s="6" t="s">
        <v>44</v>
      </c>
      <c r="Q79" s="8" t="s">
        <v>45</v>
      </c>
      <c r="R79" s="10" t="s">
        <v>581</v>
      </c>
      <c r="S79" s="11"/>
      <c r="T79" s="6"/>
      <c r="U79" s="24" t="str">
        <f>HYPERLINK("https://media.infra-m.ru/2206/2206241/cover/2206241.jpg", "Обложка")</f>
        <v>Обложка</v>
      </c>
      <c r="V79" s="24" t="str">
        <f>HYPERLINK("https://znanium.ru/catalog/product/2119943", "Ознакомиться")</f>
        <v>Ознакомиться</v>
      </c>
      <c r="W79" s="8" t="s">
        <v>582</v>
      </c>
      <c r="X79" s="6"/>
      <c r="Y79" s="6"/>
      <c r="Z79" s="6"/>
      <c r="AA79" s="6" t="s">
        <v>213</v>
      </c>
      <c r="AB79" s="8"/>
    </row>
    <row r="80" spans="1:28" s="4" customFormat="1" ht="51.95" customHeight="1">
      <c r="A80" s="5">
        <v>0</v>
      </c>
      <c r="B80" s="6" t="s">
        <v>583</v>
      </c>
      <c r="C80" s="7">
        <v>1152</v>
      </c>
      <c r="D80" s="8" t="s">
        <v>584</v>
      </c>
      <c r="E80" s="8" t="s">
        <v>585</v>
      </c>
      <c r="F80" s="8" t="s">
        <v>555</v>
      </c>
      <c r="G80" s="6" t="s">
        <v>62</v>
      </c>
      <c r="H80" s="6" t="s">
        <v>39</v>
      </c>
      <c r="I80" s="8" t="s">
        <v>40</v>
      </c>
      <c r="J80" s="9">
        <v>1</v>
      </c>
      <c r="K80" s="9">
        <v>153</v>
      </c>
      <c r="L80" s="9">
        <v>2026</v>
      </c>
      <c r="M80" s="8" t="s">
        <v>586</v>
      </c>
      <c r="N80" s="8" t="s">
        <v>144</v>
      </c>
      <c r="O80" s="8" t="s">
        <v>145</v>
      </c>
      <c r="P80" s="6" t="s">
        <v>44</v>
      </c>
      <c r="Q80" s="8" t="s">
        <v>45</v>
      </c>
      <c r="R80" s="10" t="s">
        <v>587</v>
      </c>
      <c r="S80" s="11"/>
      <c r="T80" s="6"/>
      <c r="U80" s="24" t="str">
        <f>HYPERLINK("https://media.infra-m.ru/2217/2217099/cover/2217099.jpg", "Обложка")</f>
        <v>Обложка</v>
      </c>
      <c r="V80" s="24" t="str">
        <f>HYPERLINK("https://znanium.ru/catalog/product/2217099", "Ознакомиться")</f>
        <v>Ознакомиться</v>
      </c>
      <c r="W80" s="8" t="s">
        <v>558</v>
      </c>
      <c r="X80" s="6"/>
      <c r="Y80" s="6"/>
      <c r="Z80" s="6"/>
      <c r="AA80" s="6" t="s">
        <v>360</v>
      </c>
      <c r="AB80" s="8"/>
    </row>
    <row r="81" spans="1:28" s="4" customFormat="1" ht="42" customHeight="1">
      <c r="A81" s="5">
        <v>0</v>
      </c>
      <c r="B81" s="6" t="s">
        <v>588</v>
      </c>
      <c r="C81" s="7">
        <v>1008</v>
      </c>
      <c r="D81" s="8" t="s">
        <v>589</v>
      </c>
      <c r="E81" s="8" t="s">
        <v>590</v>
      </c>
      <c r="F81" s="8" t="s">
        <v>591</v>
      </c>
      <c r="G81" s="6" t="s">
        <v>96</v>
      </c>
      <c r="H81" s="6" t="s">
        <v>39</v>
      </c>
      <c r="I81" s="8" t="s">
        <v>40</v>
      </c>
      <c r="J81" s="9">
        <v>1</v>
      </c>
      <c r="K81" s="9">
        <v>160</v>
      </c>
      <c r="L81" s="9">
        <v>2024</v>
      </c>
      <c r="M81" s="8" t="s">
        <v>592</v>
      </c>
      <c r="N81" s="8" t="s">
        <v>144</v>
      </c>
      <c r="O81" s="8" t="s">
        <v>145</v>
      </c>
      <c r="P81" s="6" t="s">
        <v>44</v>
      </c>
      <c r="Q81" s="8" t="s">
        <v>45</v>
      </c>
      <c r="R81" s="10" t="s">
        <v>593</v>
      </c>
      <c r="S81" s="11"/>
      <c r="T81" s="6"/>
      <c r="U81" s="24" t="str">
        <f>HYPERLINK("https://media.infra-m.ru/2099/2099006/cover/2099006.jpg", "Обложка")</f>
        <v>Обложка</v>
      </c>
      <c r="V81" s="24" t="str">
        <f>HYPERLINK("https://znanium.ru/catalog/product/2099006", "Ознакомиться")</f>
        <v>Ознакомиться</v>
      </c>
      <c r="W81" s="8" t="s">
        <v>594</v>
      </c>
      <c r="X81" s="6"/>
      <c r="Y81" s="6"/>
      <c r="Z81" s="6"/>
      <c r="AA81" s="6" t="s">
        <v>48</v>
      </c>
      <c r="AB81" s="8"/>
    </row>
    <row r="82" spans="1:28" s="4" customFormat="1" ht="51.95" customHeight="1">
      <c r="A82" s="5">
        <v>0</v>
      </c>
      <c r="B82" s="6" t="s">
        <v>595</v>
      </c>
      <c r="C82" s="7">
        <v>1428</v>
      </c>
      <c r="D82" s="8" t="s">
        <v>596</v>
      </c>
      <c r="E82" s="8" t="s">
        <v>597</v>
      </c>
      <c r="F82" s="8" t="s">
        <v>598</v>
      </c>
      <c r="G82" s="6" t="s">
        <v>62</v>
      </c>
      <c r="H82" s="6" t="s">
        <v>39</v>
      </c>
      <c r="I82" s="8" t="s">
        <v>40</v>
      </c>
      <c r="J82" s="9">
        <v>1</v>
      </c>
      <c r="K82" s="9">
        <v>230</v>
      </c>
      <c r="L82" s="9">
        <v>2019</v>
      </c>
      <c r="M82" s="8" t="s">
        <v>599</v>
      </c>
      <c r="N82" s="8" t="s">
        <v>144</v>
      </c>
      <c r="O82" s="8" t="s">
        <v>145</v>
      </c>
      <c r="P82" s="6" t="s">
        <v>44</v>
      </c>
      <c r="Q82" s="8" t="s">
        <v>45</v>
      </c>
      <c r="R82" s="10" t="s">
        <v>600</v>
      </c>
      <c r="S82" s="11"/>
      <c r="T82" s="6"/>
      <c r="U82" s="24" t="str">
        <f>HYPERLINK("https://media.infra-m.ru/1038/1038801/cover/1038801.jpg", "Обложка")</f>
        <v>Обложка</v>
      </c>
      <c r="V82" s="24" t="str">
        <f>HYPERLINK("https://znanium.ru/catalog/product/966771", "Ознакомиться")</f>
        <v>Ознакомиться</v>
      </c>
      <c r="W82" s="8" t="s">
        <v>558</v>
      </c>
      <c r="X82" s="6"/>
      <c r="Y82" s="6"/>
      <c r="Z82" s="6"/>
      <c r="AA82" s="6" t="s">
        <v>57</v>
      </c>
      <c r="AB82" s="8"/>
    </row>
    <row r="83" spans="1:28" s="4" customFormat="1" ht="44.1" customHeight="1">
      <c r="A83" s="5">
        <v>0</v>
      </c>
      <c r="B83" s="6" t="s">
        <v>601</v>
      </c>
      <c r="C83" s="7">
        <v>1336.8</v>
      </c>
      <c r="D83" s="8" t="s">
        <v>602</v>
      </c>
      <c r="E83" s="8" t="s">
        <v>603</v>
      </c>
      <c r="F83" s="8" t="s">
        <v>604</v>
      </c>
      <c r="G83" s="6" t="s">
        <v>96</v>
      </c>
      <c r="H83" s="6" t="s">
        <v>39</v>
      </c>
      <c r="I83" s="8" t="s">
        <v>365</v>
      </c>
      <c r="J83" s="9">
        <v>1</v>
      </c>
      <c r="K83" s="9">
        <v>222</v>
      </c>
      <c r="L83" s="9">
        <v>2025</v>
      </c>
      <c r="M83" s="8" t="s">
        <v>605</v>
      </c>
      <c r="N83" s="8" t="s">
        <v>119</v>
      </c>
      <c r="O83" s="8" t="s">
        <v>432</v>
      </c>
      <c r="P83" s="6" t="s">
        <v>271</v>
      </c>
      <c r="Q83" s="8" t="s">
        <v>45</v>
      </c>
      <c r="R83" s="10" t="s">
        <v>606</v>
      </c>
      <c r="S83" s="11"/>
      <c r="T83" s="6"/>
      <c r="U83" s="24" t="str">
        <f>HYPERLINK("https://media.infra-m.ru/2188/2188727/cover/2188727.jpg", "Обложка")</f>
        <v>Обложка</v>
      </c>
      <c r="V83" s="24" t="str">
        <f>HYPERLINK("https://znanium.ru/catalog/product/2107315", "Ознакомиться")</f>
        <v>Ознакомиться</v>
      </c>
      <c r="W83" s="8" t="s">
        <v>607</v>
      </c>
      <c r="X83" s="6"/>
      <c r="Y83" s="6"/>
      <c r="Z83" s="6"/>
      <c r="AA83" s="6" t="s">
        <v>494</v>
      </c>
      <c r="AB83" s="8"/>
    </row>
    <row r="84" spans="1:28" s="4" customFormat="1" ht="51.95" customHeight="1">
      <c r="A84" s="5">
        <v>0</v>
      </c>
      <c r="B84" s="6" t="s">
        <v>608</v>
      </c>
      <c r="C84" s="7">
        <v>1284</v>
      </c>
      <c r="D84" s="8" t="s">
        <v>609</v>
      </c>
      <c r="E84" s="8" t="s">
        <v>610</v>
      </c>
      <c r="F84" s="8" t="s">
        <v>611</v>
      </c>
      <c r="G84" s="6" t="s">
        <v>62</v>
      </c>
      <c r="H84" s="6" t="s">
        <v>39</v>
      </c>
      <c r="I84" s="8" t="s">
        <v>421</v>
      </c>
      <c r="J84" s="9">
        <v>1</v>
      </c>
      <c r="K84" s="9">
        <v>193</v>
      </c>
      <c r="L84" s="9">
        <v>2026</v>
      </c>
      <c r="M84" s="8" t="s">
        <v>612</v>
      </c>
      <c r="N84" s="8" t="s">
        <v>119</v>
      </c>
      <c r="O84" s="8" t="s">
        <v>613</v>
      </c>
      <c r="P84" s="6" t="s">
        <v>425</v>
      </c>
      <c r="Q84" s="8"/>
      <c r="R84" s="10" t="s">
        <v>614</v>
      </c>
      <c r="S84" s="11"/>
      <c r="T84" s="6"/>
      <c r="U84" s="24" t="str">
        <f>HYPERLINK("https://media.infra-m.ru/2228/2228877/cover/2228877.jpg", "Обложка")</f>
        <v>Обложка</v>
      </c>
      <c r="V84" s="24" t="str">
        <f>HYPERLINK("https://znanium.ru/catalog/product/2228877", "Ознакомиться")</f>
        <v>Ознакомиться</v>
      </c>
      <c r="W84" s="8" t="s">
        <v>615</v>
      </c>
      <c r="X84" s="6"/>
      <c r="Y84" s="6"/>
      <c r="Z84" s="6"/>
      <c r="AA84" s="6" t="s">
        <v>360</v>
      </c>
      <c r="AB84" s="8" t="s">
        <v>616</v>
      </c>
    </row>
    <row r="85" spans="1:28" s="4" customFormat="1" ht="42" customHeight="1">
      <c r="A85" s="5">
        <v>0</v>
      </c>
      <c r="B85" s="6" t="s">
        <v>617</v>
      </c>
      <c r="C85" s="13">
        <v>869.9</v>
      </c>
      <c r="D85" s="8" t="s">
        <v>618</v>
      </c>
      <c r="E85" s="8" t="s">
        <v>619</v>
      </c>
      <c r="F85" s="8" t="s">
        <v>620</v>
      </c>
      <c r="G85" s="6" t="s">
        <v>38</v>
      </c>
      <c r="H85" s="6" t="s">
        <v>39</v>
      </c>
      <c r="I85" s="8" t="s">
        <v>40</v>
      </c>
      <c r="J85" s="9">
        <v>1</v>
      </c>
      <c r="K85" s="9">
        <v>161</v>
      </c>
      <c r="L85" s="9">
        <v>2023</v>
      </c>
      <c r="M85" s="8" t="s">
        <v>621</v>
      </c>
      <c r="N85" s="8" t="s">
        <v>144</v>
      </c>
      <c r="O85" s="8" t="s">
        <v>145</v>
      </c>
      <c r="P85" s="6" t="s">
        <v>44</v>
      </c>
      <c r="Q85" s="8" t="s">
        <v>45</v>
      </c>
      <c r="R85" s="10" t="s">
        <v>622</v>
      </c>
      <c r="S85" s="11"/>
      <c r="T85" s="6"/>
      <c r="U85" s="24" t="str">
        <f>HYPERLINK("https://media.infra-m.ru/1976/1976181/cover/1976181.jpg", "Обложка")</f>
        <v>Обложка</v>
      </c>
      <c r="V85" s="24" t="str">
        <f>HYPERLINK("https://znanium.ru/catalog/product/1084388", "Ознакомиться")</f>
        <v>Ознакомиться</v>
      </c>
      <c r="W85" s="8" t="s">
        <v>623</v>
      </c>
      <c r="X85" s="6"/>
      <c r="Y85" s="6"/>
      <c r="Z85" s="6"/>
      <c r="AA85" s="6" t="s">
        <v>391</v>
      </c>
      <c r="AB85" s="8"/>
    </row>
    <row r="86" spans="1:28" s="4" customFormat="1" ht="51.95" customHeight="1">
      <c r="A86" s="5">
        <v>0</v>
      </c>
      <c r="B86" s="6" t="s">
        <v>624</v>
      </c>
      <c r="C86" s="13">
        <v>232.8</v>
      </c>
      <c r="D86" s="8" t="s">
        <v>625</v>
      </c>
      <c r="E86" s="8" t="s">
        <v>626</v>
      </c>
      <c r="F86" s="8" t="s">
        <v>627</v>
      </c>
      <c r="G86" s="6" t="s">
        <v>628</v>
      </c>
      <c r="H86" s="6" t="s">
        <v>39</v>
      </c>
      <c r="I86" s="8" t="s">
        <v>629</v>
      </c>
      <c r="J86" s="9">
        <v>1</v>
      </c>
      <c r="K86" s="9">
        <v>22</v>
      </c>
      <c r="L86" s="9">
        <v>2025</v>
      </c>
      <c r="M86" s="8" t="s">
        <v>630</v>
      </c>
      <c r="N86" s="8" t="s">
        <v>119</v>
      </c>
      <c r="O86" s="8" t="s">
        <v>120</v>
      </c>
      <c r="P86" s="6" t="s">
        <v>631</v>
      </c>
      <c r="Q86" s="8" t="s">
        <v>45</v>
      </c>
      <c r="R86" s="10" t="s">
        <v>632</v>
      </c>
      <c r="S86" s="11"/>
      <c r="T86" s="6" t="s">
        <v>633</v>
      </c>
      <c r="U86" s="24" t="str">
        <f>HYPERLINK("https://media.infra-m.ru/2200/2200008/cover/2200008.jpg", "Обложка")</f>
        <v>Обложка</v>
      </c>
      <c r="V86" s="24" t="str">
        <f>HYPERLINK("https://znanium.ru/catalog/product/2106215", "Ознакомиться")</f>
        <v>Ознакомиться</v>
      </c>
      <c r="W86" s="8"/>
      <c r="X86" s="6"/>
      <c r="Y86" s="6"/>
      <c r="Z86" s="6"/>
      <c r="AA86" s="6" t="s">
        <v>227</v>
      </c>
      <c r="AB86" s="8"/>
    </row>
    <row r="87" spans="1:28" s="4" customFormat="1" ht="42" customHeight="1">
      <c r="A87" s="5">
        <v>0</v>
      </c>
      <c r="B87" s="6" t="s">
        <v>634</v>
      </c>
      <c r="C87" s="7">
        <v>1248</v>
      </c>
      <c r="D87" s="8" t="s">
        <v>635</v>
      </c>
      <c r="E87" s="8" t="s">
        <v>636</v>
      </c>
      <c r="F87" s="8" t="s">
        <v>637</v>
      </c>
      <c r="G87" s="6" t="s">
        <v>62</v>
      </c>
      <c r="H87" s="6" t="s">
        <v>39</v>
      </c>
      <c r="I87" s="8" t="s">
        <v>40</v>
      </c>
      <c r="J87" s="9">
        <v>1</v>
      </c>
      <c r="K87" s="9">
        <v>189</v>
      </c>
      <c r="L87" s="9">
        <v>2026</v>
      </c>
      <c r="M87" s="8" t="s">
        <v>638</v>
      </c>
      <c r="N87" s="8" t="s">
        <v>42</v>
      </c>
      <c r="O87" s="8" t="s">
        <v>43</v>
      </c>
      <c r="P87" s="6" t="s">
        <v>44</v>
      </c>
      <c r="Q87" s="8" t="s">
        <v>45</v>
      </c>
      <c r="R87" s="10" t="s">
        <v>518</v>
      </c>
      <c r="S87" s="11"/>
      <c r="T87" s="6"/>
      <c r="U87" s="24" t="str">
        <f>HYPERLINK("https://media.infra-m.ru/2225/2225442/cover/2225442.jpg", "Обложка")</f>
        <v>Обложка</v>
      </c>
      <c r="V87" s="24" t="str">
        <f>HYPERLINK("https://znanium.ru/catalog/product/2225442", "Ознакомиться")</f>
        <v>Ознакомиться</v>
      </c>
      <c r="W87" s="8"/>
      <c r="X87" s="6"/>
      <c r="Y87" s="6"/>
      <c r="Z87" s="6"/>
      <c r="AA87" s="6" t="s">
        <v>91</v>
      </c>
      <c r="AB87" s="8"/>
    </row>
    <row r="88" spans="1:28" s="4" customFormat="1" ht="51.95" customHeight="1">
      <c r="A88" s="5">
        <v>0</v>
      </c>
      <c r="B88" s="6" t="s">
        <v>639</v>
      </c>
      <c r="C88" s="13">
        <v>808.8</v>
      </c>
      <c r="D88" s="8" t="s">
        <v>640</v>
      </c>
      <c r="E88" s="8" t="s">
        <v>641</v>
      </c>
      <c r="F88" s="8" t="s">
        <v>642</v>
      </c>
      <c r="G88" s="6" t="s">
        <v>38</v>
      </c>
      <c r="H88" s="6" t="s">
        <v>39</v>
      </c>
      <c r="I88" s="8" t="s">
        <v>40</v>
      </c>
      <c r="J88" s="9">
        <v>1</v>
      </c>
      <c r="K88" s="9">
        <v>128</v>
      </c>
      <c r="L88" s="9">
        <v>2026</v>
      </c>
      <c r="M88" s="8" t="s">
        <v>643</v>
      </c>
      <c r="N88" s="8" t="s">
        <v>144</v>
      </c>
      <c r="O88" s="8" t="s">
        <v>145</v>
      </c>
      <c r="P88" s="6" t="s">
        <v>44</v>
      </c>
      <c r="Q88" s="8" t="s">
        <v>45</v>
      </c>
      <c r="R88" s="10" t="s">
        <v>644</v>
      </c>
      <c r="S88" s="11"/>
      <c r="T88" s="6"/>
      <c r="U88" s="24" t="str">
        <f>HYPERLINK("https://media.infra-m.ru/2216/2216059/cover/2216059.jpg", "Обложка")</f>
        <v>Обложка</v>
      </c>
      <c r="V88" s="24" t="str">
        <f>HYPERLINK("https://znanium.ru/catalog/product/2161270", "Ознакомиться")</f>
        <v>Ознакомиться</v>
      </c>
      <c r="W88" s="8" t="s">
        <v>74</v>
      </c>
      <c r="X88" s="6"/>
      <c r="Y88" s="6"/>
      <c r="Z88" s="6"/>
      <c r="AA88" s="6" t="s">
        <v>470</v>
      </c>
      <c r="AB88" s="8"/>
    </row>
    <row r="89" spans="1:28" s="4" customFormat="1" ht="51.95" customHeight="1">
      <c r="A89" s="5">
        <v>0</v>
      </c>
      <c r="B89" s="6" t="s">
        <v>645</v>
      </c>
      <c r="C89" s="7">
        <v>1144.8</v>
      </c>
      <c r="D89" s="8" t="s">
        <v>646</v>
      </c>
      <c r="E89" s="8" t="s">
        <v>647</v>
      </c>
      <c r="F89" s="8" t="s">
        <v>648</v>
      </c>
      <c r="G89" s="6" t="s">
        <v>96</v>
      </c>
      <c r="H89" s="6" t="s">
        <v>39</v>
      </c>
      <c r="I89" s="8" t="s">
        <v>40</v>
      </c>
      <c r="J89" s="9">
        <v>1</v>
      </c>
      <c r="K89" s="9">
        <v>183</v>
      </c>
      <c r="L89" s="9">
        <v>2025</v>
      </c>
      <c r="M89" s="8" t="s">
        <v>649</v>
      </c>
      <c r="N89" s="8" t="s">
        <v>144</v>
      </c>
      <c r="O89" s="8" t="s">
        <v>145</v>
      </c>
      <c r="P89" s="6" t="s">
        <v>44</v>
      </c>
      <c r="Q89" s="8" t="s">
        <v>45</v>
      </c>
      <c r="R89" s="10" t="s">
        <v>650</v>
      </c>
      <c r="S89" s="11"/>
      <c r="T89" s="6"/>
      <c r="U89" s="24" t="str">
        <f>HYPERLINK("https://media.infra-m.ru/2198/2198380/cover/2198380.jpg", "Обложка")</f>
        <v>Обложка</v>
      </c>
      <c r="V89" s="24" t="str">
        <f>HYPERLINK("https://znanium.ru/catalog/product/2166949", "Ознакомиться")</f>
        <v>Ознакомиться</v>
      </c>
      <c r="W89" s="8" t="s">
        <v>651</v>
      </c>
      <c r="X89" s="6"/>
      <c r="Y89" s="6"/>
      <c r="Z89" s="6"/>
      <c r="AA89" s="6" t="s">
        <v>48</v>
      </c>
      <c r="AB89" s="8"/>
    </row>
    <row r="90" spans="1:28" s="4" customFormat="1" ht="51.95" customHeight="1">
      <c r="A90" s="5">
        <v>0</v>
      </c>
      <c r="B90" s="6" t="s">
        <v>652</v>
      </c>
      <c r="C90" s="13">
        <v>828</v>
      </c>
      <c r="D90" s="8" t="s">
        <v>653</v>
      </c>
      <c r="E90" s="8" t="s">
        <v>654</v>
      </c>
      <c r="F90" s="8" t="s">
        <v>217</v>
      </c>
      <c r="G90" s="6" t="s">
        <v>38</v>
      </c>
      <c r="H90" s="6" t="s">
        <v>39</v>
      </c>
      <c r="I90" s="8" t="s">
        <v>40</v>
      </c>
      <c r="J90" s="9">
        <v>1</v>
      </c>
      <c r="K90" s="9">
        <v>148</v>
      </c>
      <c r="L90" s="9">
        <v>2024</v>
      </c>
      <c r="M90" s="8" t="s">
        <v>655</v>
      </c>
      <c r="N90" s="8" t="s">
        <v>144</v>
      </c>
      <c r="O90" s="8" t="s">
        <v>145</v>
      </c>
      <c r="P90" s="6" t="s">
        <v>44</v>
      </c>
      <c r="Q90" s="8" t="s">
        <v>45</v>
      </c>
      <c r="R90" s="10" t="s">
        <v>656</v>
      </c>
      <c r="S90" s="11"/>
      <c r="T90" s="6"/>
      <c r="U90" s="24" t="str">
        <f>HYPERLINK("https://media.infra-m.ru/2118/2118719/cover/2118719.jpg", "Обложка")</f>
        <v>Обложка</v>
      </c>
      <c r="V90" s="24" t="str">
        <f>HYPERLINK("https://znanium.ru/catalog/product/2169531", "Ознакомиться")</f>
        <v>Ознакомиться</v>
      </c>
      <c r="W90" s="8" t="s">
        <v>220</v>
      </c>
      <c r="X90" s="6"/>
      <c r="Y90" s="6"/>
      <c r="Z90" s="6"/>
      <c r="AA90" s="6" t="s">
        <v>242</v>
      </c>
      <c r="AB90" s="8"/>
    </row>
    <row r="91" spans="1:28" s="4" customFormat="1" ht="51.95" customHeight="1">
      <c r="A91" s="5">
        <v>0</v>
      </c>
      <c r="B91" s="6" t="s">
        <v>657</v>
      </c>
      <c r="C91" s="7">
        <v>1140</v>
      </c>
      <c r="D91" s="8" t="s">
        <v>658</v>
      </c>
      <c r="E91" s="8" t="s">
        <v>659</v>
      </c>
      <c r="F91" s="8" t="s">
        <v>217</v>
      </c>
      <c r="G91" s="6" t="s">
        <v>38</v>
      </c>
      <c r="H91" s="6" t="s">
        <v>39</v>
      </c>
      <c r="I91" s="8" t="s">
        <v>40</v>
      </c>
      <c r="J91" s="9">
        <v>1</v>
      </c>
      <c r="K91" s="9">
        <v>158</v>
      </c>
      <c r="L91" s="9">
        <v>2025</v>
      </c>
      <c r="M91" s="8" t="s">
        <v>660</v>
      </c>
      <c r="N91" s="8" t="s">
        <v>144</v>
      </c>
      <c r="O91" s="8" t="s">
        <v>145</v>
      </c>
      <c r="P91" s="6" t="s">
        <v>44</v>
      </c>
      <c r="Q91" s="8" t="s">
        <v>45</v>
      </c>
      <c r="R91" s="10" t="s">
        <v>656</v>
      </c>
      <c r="S91" s="11"/>
      <c r="T91" s="6"/>
      <c r="U91" s="24" t="str">
        <f>HYPERLINK("https://media.infra-m.ru/2169/2169531/cover/2169531.jpg", "Обложка")</f>
        <v>Обложка</v>
      </c>
      <c r="V91" s="24" t="str">
        <f>HYPERLINK("https://znanium.ru/catalog/product/2169531", "Ознакомиться")</f>
        <v>Ознакомиться</v>
      </c>
      <c r="W91" s="8" t="s">
        <v>220</v>
      </c>
      <c r="X91" s="6" t="s">
        <v>221</v>
      </c>
      <c r="Y91" s="6"/>
      <c r="Z91" s="6"/>
      <c r="AA91" s="6" t="s">
        <v>203</v>
      </c>
      <c r="AB91" s="8"/>
    </row>
    <row r="92" spans="1:28" s="4" customFormat="1" ht="42" customHeight="1">
      <c r="A92" s="5">
        <v>0</v>
      </c>
      <c r="B92" s="6" t="s">
        <v>661</v>
      </c>
      <c r="C92" s="7">
        <v>5340</v>
      </c>
      <c r="D92" s="8" t="s">
        <v>662</v>
      </c>
      <c r="E92" s="8" t="s">
        <v>663</v>
      </c>
      <c r="F92" s="8" t="s">
        <v>664</v>
      </c>
      <c r="G92" s="6" t="s">
        <v>96</v>
      </c>
      <c r="H92" s="6" t="s">
        <v>39</v>
      </c>
      <c r="I92" s="8"/>
      <c r="J92" s="9">
        <v>1</v>
      </c>
      <c r="K92" s="9">
        <v>761</v>
      </c>
      <c r="L92" s="9">
        <v>2023</v>
      </c>
      <c r="M92" s="8" t="s">
        <v>665</v>
      </c>
      <c r="N92" s="8" t="s">
        <v>144</v>
      </c>
      <c r="O92" s="8" t="s">
        <v>145</v>
      </c>
      <c r="P92" s="6" t="s">
        <v>666</v>
      </c>
      <c r="Q92" s="8" t="s">
        <v>45</v>
      </c>
      <c r="R92" s="10" t="s">
        <v>667</v>
      </c>
      <c r="S92" s="11"/>
      <c r="T92" s="6"/>
      <c r="U92" s="24" t="str">
        <f>HYPERLINK("https://media.infra-m.ru/2113/2113425/cover/2113425.jpg", "Обложка")</f>
        <v>Обложка</v>
      </c>
      <c r="V92" s="24" t="str">
        <f>HYPERLINK("https://znanium.ru/catalog/product/2113425", "Ознакомиться")</f>
        <v>Ознакомиться</v>
      </c>
      <c r="W92" s="8" t="s">
        <v>594</v>
      </c>
      <c r="X92" s="6"/>
      <c r="Y92" s="6"/>
      <c r="Z92" s="6"/>
      <c r="AA92" s="6" t="s">
        <v>91</v>
      </c>
      <c r="AB92" s="8"/>
    </row>
    <row r="93" spans="1:28" s="4" customFormat="1" ht="51.95" customHeight="1">
      <c r="A93" s="5">
        <v>0</v>
      </c>
      <c r="B93" s="6" t="s">
        <v>668</v>
      </c>
      <c r="C93" s="7">
        <v>1576.8</v>
      </c>
      <c r="D93" s="8" t="s">
        <v>669</v>
      </c>
      <c r="E93" s="8" t="s">
        <v>670</v>
      </c>
      <c r="F93" s="8" t="s">
        <v>671</v>
      </c>
      <c r="G93" s="6" t="s">
        <v>96</v>
      </c>
      <c r="H93" s="6" t="s">
        <v>531</v>
      </c>
      <c r="I93" s="8" t="s">
        <v>539</v>
      </c>
      <c r="J93" s="9">
        <v>1</v>
      </c>
      <c r="K93" s="9">
        <v>252</v>
      </c>
      <c r="L93" s="9">
        <v>2025</v>
      </c>
      <c r="M93" s="8" t="s">
        <v>672</v>
      </c>
      <c r="N93" s="8" t="s">
        <v>423</v>
      </c>
      <c r="O93" s="8" t="s">
        <v>424</v>
      </c>
      <c r="P93" s="6" t="s">
        <v>179</v>
      </c>
      <c r="Q93" s="8" t="s">
        <v>200</v>
      </c>
      <c r="R93" s="10" t="s">
        <v>673</v>
      </c>
      <c r="S93" s="11" t="s">
        <v>674</v>
      </c>
      <c r="T93" s="6" t="s">
        <v>633</v>
      </c>
      <c r="U93" s="24" t="str">
        <f>HYPERLINK("https://media.infra-m.ru/2209/2209005/cover/2209005.jpg", "Обложка")</f>
        <v>Обложка</v>
      </c>
      <c r="V93" s="24" t="str">
        <f>HYPERLINK("https://znanium.ru/catalog/product/2204873", "Ознакомиться")</f>
        <v>Ознакомиться</v>
      </c>
      <c r="W93" s="8" t="s">
        <v>675</v>
      </c>
      <c r="X93" s="6"/>
      <c r="Y93" s="6"/>
      <c r="Z93" s="6"/>
      <c r="AA93" s="6" t="s">
        <v>391</v>
      </c>
      <c r="AB93" s="8"/>
    </row>
    <row r="94" spans="1:28" s="4" customFormat="1" ht="51.95" customHeight="1">
      <c r="A94" s="5">
        <v>0</v>
      </c>
      <c r="B94" s="6" t="s">
        <v>676</v>
      </c>
      <c r="C94" s="7">
        <v>1572</v>
      </c>
      <c r="D94" s="8" t="s">
        <v>677</v>
      </c>
      <c r="E94" s="8" t="s">
        <v>670</v>
      </c>
      <c r="F94" s="8" t="s">
        <v>671</v>
      </c>
      <c r="G94" s="6" t="s">
        <v>62</v>
      </c>
      <c r="H94" s="6" t="s">
        <v>39</v>
      </c>
      <c r="I94" s="8" t="s">
        <v>678</v>
      </c>
      <c r="J94" s="9">
        <v>1</v>
      </c>
      <c r="K94" s="9">
        <v>252</v>
      </c>
      <c r="L94" s="9">
        <v>2026</v>
      </c>
      <c r="M94" s="8" t="s">
        <v>679</v>
      </c>
      <c r="N94" s="8" t="s">
        <v>423</v>
      </c>
      <c r="O94" s="8" t="s">
        <v>424</v>
      </c>
      <c r="P94" s="6" t="s">
        <v>179</v>
      </c>
      <c r="Q94" s="8" t="s">
        <v>680</v>
      </c>
      <c r="R94" s="10" t="s">
        <v>681</v>
      </c>
      <c r="S94" s="11" t="s">
        <v>682</v>
      </c>
      <c r="T94" s="6" t="s">
        <v>633</v>
      </c>
      <c r="U94" s="24" t="str">
        <f>HYPERLINK("https://media.infra-m.ru/2166/2166533/cover/2166533.jpg", "Обложка")</f>
        <v>Обложка</v>
      </c>
      <c r="V94" s="24" t="str">
        <f>HYPERLINK("https://znanium.ru/catalog/product/2166533", "Ознакомиться")</f>
        <v>Ознакомиться</v>
      </c>
      <c r="W94" s="8" t="s">
        <v>675</v>
      </c>
      <c r="X94" s="6"/>
      <c r="Y94" s="6"/>
      <c r="Z94" s="6" t="s">
        <v>683</v>
      </c>
      <c r="AA94" s="6" t="s">
        <v>129</v>
      </c>
      <c r="AB94" s="8"/>
    </row>
    <row r="95" spans="1:28" s="4" customFormat="1" ht="51.95" customHeight="1">
      <c r="A95" s="5">
        <v>0</v>
      </c>
      <c r="B95" s="6" t="s">
        <v>684</v>
      </c>
      <c r="C95" s="7">
        <v>1348.8</v>
      </c>
      <c r="D95" s="8" t="s">
        <v>685</v>
      </c>
      <c r="E95" s="8" t="s">
        <v>686</v>
      </c>
      <c r="F95" s="8" t="s">
        <v>687</v>
      </c>
      <c r="G95" s="6" t="s">
        <v>62</v>
      </c>
      <c r="H95" s="6" t="s">
        <v>188</v>
      </c>
      <c r="I95" s="8" t="s">
        <v>678</v>
      </c>
      <c r="J95" s="9">
        <v>1</v>
      </c>
      <c r="K95" s="9">
        <v>238</v>
      </c>
      <c r="L95" s="9">
        <v>2024</v>
      </c>
      <c r="M95" s="8" t="s">
        <v>688</v>
      </c>
      <c r="N95" s="8" t="s">
        <v>177</v>
      </c>
      <c r="O95" s="8" t="s">
        <v>178</v>
      </c>
      <c r="P95" s="6" t="s">
        <v>154</v>
      </c>
      <c r="Q95" s="8" t="s">
        <v>680</v>
      </c>
      <c r="R95" s="10" t="s">
        <v>689</v>
      </c>
      <c r="S95" s="11"/>
      <c r="T95" s="6"/>
      <c r="U95" s="24" t="str">
        <f>HYPERLINK("https://media.infra-m.ru/2145/2145762/cover/2145762.jpg", "Обложка")</f>
        <v>Обложка</v>
      </c>
      <c r="V95" s="24" t="str">
        <f>HYPERLINK("https://znanium.ru/catalog/product/1940919", "Ознакомиться")</f>
        <v>Ознакомиться</v>
      </c>
      <c r="W95" s="8" t="s">
        <v>156</v>
      </c>
      <c r="X95" s="6"/>
      <c r="Y95" s="6"/>
      <c r="Z95" s="6"/>
      <c r="AA95" s="6" t="s">
        <v>690</v>
      </c>
      <c r="AB95" s="8"/>
    </row>
    <row r="96" spans="1:28" s="4" customFormat="1" ht="51.95" customHeight="1">
      <c r="A96" s="5">
        <v>0</v>
      </c>
      <c r="B96" s="6" t="s">
        <v>691</v>
      </c>
      <c r="C96" s="7">
        <v>1620</v>
      </c>
      <c r="D96" s="8" t="s">
        <v>692</v>
      </c>
      <c r="E96" s="8" t="s">
        <v>693</v>
      </c>
      <c r="F96" s="8" t="s">
        <v>555</v>
      </c>
      <c r="G96" s="6" t="s">
        <v>62</v>
      </c>
      <c r="H96" s="6" t="s">
        <v>39</v>
      </c>
      <c r="I96" s="8" t="s">
        <v>40</v>
      </c>
      <c r="J96" s="9">
        <v>1</v>
      </c>
      <c r="K96" s="9">
        <v>234</v>
      </c>
      <c r="L96" s="9">
        <v>2026</v>
      </c>
      <c r="M96" s="8" t="s">
        <v>694</v>
      </c>
      <c r="N96" s="8" t="s">
        <v>144</v>
      </c>
      <c r="O96" s="8" t="s">
        <v>145</v>
      </c>
      <c r="P96" s="6" t="s">
        <v>44</v>
      </c>
      <c r="Q96" s="8" t="s">
        <v>45</v>
      </c>
      <c r="R96" s="10" t="s">
        <v>695</v>
      </c>
      <c r="S96" s="11"/>
      <c r="T96" s="6"/>
      <c r="U96" s="24" t="str">
        <f>HYPERLINK("https://media.infra-m.ru/2230/2230761/cover/2230761.jpg", "Обложка")</f>
        <v>Обложка</v>
      </c>
      <c r="V96" s="24" t="str">
        <f>HYPERLINK("https://znanium.ru/catalog/product/2230761", "Ознакомиться")</f>
        <v>Ознакомиться</v>
      </c>
      <c r="W96" s="8" t="s">
        <v>558</v>
      </c>
      <c r="X96" s="6"/>
      <c r="Y96" s="6"/>
      <c r="Z96" s="6"/>
      <c r="AA96" s="6" t="s">
        <v>360</v>
      </c>
      <c r="AB96" s="8"/>
    </row>
    <row r="97" spans="1:28" s="4" customFormat="1" ht="51.95" customHeight="1">
      <c r="A97" s="5">
        <v>0</v>
      </c>
      <c r="B97" s="6" t="s">
        <v>696</v>
      </c>
      <c r="C97" s="7">
        <v>3480</v>
      </c>
      <c r="D97" s="8" t="s">
        <v>697</v>
      </c>
      <c r="E97" s="8" t="s">
        <v>698</v>
      </c>
      <c r="F97" s="8" t="s">
        <v>699</v>
      </c>
      <c r="G97" s="6" t="s">
        <v>38</v>
      </c>
      <c r="H97" s="6" t="s">
        <v>39</v>
      </c>
      <c r="I97" s="8" t="s">
        <v>40</v>
      </c>
      <c r="J97" s="9">
        <v>1</v>
      </c>
      <c r="K97" s="9">
        <v>610</v>
      </c>
      <c r="L97" s="9">
        <v>2026</v>
      </c>
      <c r="M97" s="8" t="s">
        <v>700</v>
      </c>
      <c r="N97" s="8" t="s">
        <v>144</v>
      </c>
      <c r="O97" s="8" t="s">
        <v>145</v>
      </c>
      <c r="P97" s="6" t="s">
        <v>44</v>
      </c>
      <c r="Q97" s="8" t="s">
        <v>45</v>
      </c>
      <c r="R97" s="10" t="s">
        <v>701</v>
      </c>
      <c r="S97" s="11"/>
      <c r="T97" s="6"/>
      <c r="U97" s="24" t="str">
        <f>HYPERLINK("https://media.infra-m.ru/2223/2223205/cover/2223205.jpg", "Обложка")</f>
        <v>Обложка</v>
      </c>
      <c r="V97" s="24" t="str">
        <f>HYPERLINK("https://znanium.ru/catalog/product/2223205", "Ознакомиться")</f>
        <v>Ознакомиться</v>
      </c>
      <c r="W97" s="8" t="s">
        <v>702</v>
      </c>
      <c r="X97" s="6"/>
      <c r="Y97" s="6"/>
      <c r="Z97" s="6"/>
      <c r="AA97" s="6" t="s">
        <v>391</v>
      </c>
      <c r="AB97" s="8"/>
    </row>
    <row r="98" spans="1:28" s="4" customFormat="1" ht="42" customHeight="1">
      <c r="A98" s="5">
        <v>0</v>
      </c>
      <c r="B98" s="6" t="s">
        <v>703</v>
      </c>
      <c r="C98" s="13">
        <v>676.8</v>
      </c>
      <c r="D98" s="8" t="s">
        <v>704</v>
      </c>
      <c r="E98" s="8" t="s">
        <v>705</v>
      </c>
      <c r="F98" s="8" t="s">
        <v>706</v>
      </c>
      <c r="G98" s="6" t="s">
        <v>38</v>
      </c>
      <c r="H98" s="6" t="s">
        <v>167</v>
      </c>
      <c r="I98" s="8"/>
      <c r="J98" s="9">
        <v>1</v>
      </c>
      <c r="K98" s="9">
        <v>112</v>
      </c>
      <c r="L98" s="9">
        <v>2025</v>
      </c>
      <c r="M98" s="8" t="s">
        <v>707</v>
      </c>
      <c r="N98" s="8" t="s">
        <v>42</v>
      </c>
      <c r="O98" s="8" t="s">
        <v>72</v>
      </c>
      <c r="P98" s="6" t="s">
        <v>44</v>
      </c>
      <c r="Q98" s="8" t="s">
        <v>45</v>
      </c>
      <c r="R98" s="10" t="s">
        <v>581</v>
      </c>
      <c r="S98" s="11"/>
      <c r="T98" s="6"/>
      <c r="U98" s="24" t="str">
        <f>HYPERLINK("https://media.infra-m.ru/2161/2161272/cover/2161272.jpg", "Обложка")</f>
        <v>Обложка</v>
      </c>
      <c r="V98" s="24" t="str">
        <f>HYPERLINK("https://znanium.ru/catalog/product/1062808", "Ознакомиться")</f>
        <v>Ознакомиться</v>
      </c>
      <c r="W98" s="8" t="s">
        <v>708</v>
      </c>
      <c r="X98" s="6"/>
      <c r="Y98" s="6"/>
      <c r="Z98" s="6"/>
      <c r="AA98" s="6" t="s">
        <v>545</v>
      </c>
      <c r="AB98" s="8"/>
    </row>
    <row r="99" spans="1:28" s="4" customFormat="1" ht="51.95" customHeight="1">
      <c r="A99" s="5">
        <v>0</v>
      </c>
      <c r="B99" s="6" t="s">
        <v>709</v>
      </c>
      <c r="C99" s="7">
        <v>1485.6</v>
      </c>
      <c r="D99" s="8" t="s">
        <v>710</v>
      </c>
      <c r="E99" s="8" t="s">
        <v>711</v>
      </c>
      <c r="F99" s="8" t="s">
        <v>712</v>
      </c>
      <c r="G99" s="6" t="s">
        <v>96</v>
      </c>
      <c r="H99" s="6" t="s">
        <v>167</v>
      </c>
      <c r="I99" s="8"/>
      <c r="J99" s="9">
        <v>1</v>
      </c>
      <c r="K99" s="9">
        <v>192</v>
      </c>
      <c r="L99" s="9">
        <v>2021</v>
      </c>
      <c r="M99" s="8" t="s">
        <v>713</v>
      </c>
      <c r="N99" s="8" t="s">
        <v>119</v>
      </c>
      <c r="O99" s="8" t="s">
        <v>120</v>
      </c>
      <c r="P99" s="6" t="s">
        <v>714</v>
      </c>
      <c r="Q99" s="8" t="s">
        <v>45</v>
      </c>
      <c r="R99" s="10" t="s">
        <v>715</v>
      </c>
      <c r="S99" s="11"/>
      <c r="T99" s="6"/>
      <c r="U99" s="24" t="str">
        <f>HYPERLINK("https://media.infra-m.ru/1861/1861573/cover/1861573.jpg", "Обложка")</f>
        <v>Обложка</v>
      </c>
      <c r="V99" s="24" t="str">
        <f>HYPERLINK("https://znanium.ru/catalog/product/1391094", "Ознакомиться")</f>
        <v>Ознакомиться</v>
      </c>
      <c r="W99" s="8"/>
      <c r="X99" s="6"/>
      <c r="Y99" s="6"/>
      <c r="Z99" s="6"/>
      <c r="AA99" s="6" t="s">
        <v>716</v>
      </c>
      <c r="AB99" s="8"/>
    </row>
    <row r="100" spans="1:28" s="4" customFormat="1" ht="51.95" customHeight="1">
      <c r="A100" s="5">
        <v>0</v>
      </c>
      <c r="B100" s="6" t="s">
        <v>717</v>
      </c>
      <c r="C100" s="7">
        <v>2344.8000000000002</v>
      </c>
      <c r="D100" s="8" t="s">
        <v>718</v>
      </c>
      <c r="E100" s="8" t="s">
        <v>719</v>
      </c>
      <c r="F100" s="8" t="s">
        <v>720</v>
      </c>
      <c r="G100" s="6" t="s">
        <v>62</v>
      </c>
      <c r="H100" s="6" t="s">
        <v>39</v>
      </c>
      <c r="I100" s="8" t="s">
        <v>340</v>
      </c>
      <c r="J100" s="9">
        <v>1</v>
      </c>
      <c r="K100" s="9">
        <v>376</v>
      </c>
      <c r="L100" s="9">
        <v>2025</v>
      </c>
      <c r="M100" s="8" t="s">
        <v>721</v>
      </c>
      <c r="N100" s="8" t="s">
        <v>177</v>
      </c>
      <c r="O100" s="8" t="s">
        <v>565</v>
      </c>
      <c r="P100" s="6" t="s">
        <v>271</v>
      </c>
      <c r="Q100" s="8" t="s">
        <v>45</v>
      </c>
      <c r="R100" s="10" t="s">
        <v>722</v>
      </c>
      <c r="S100" s="11"/>
      <c r="T100" s="6"/>
      <c r="U100" s="24" t="str">
        <f>HYPERLINK("https://media.infra-m.ru/2194/2194322/cover/2194322.jpg", "Обложка")</f>
        <v>Обложка</v>
      </c>
      <c r="V100" s="24" t="str">
        <f>HYPERLINK("https://znanium.ru/catalog/product/1909201", "Ознакомиться")</f>
        <v>Ознакомиться</v>
      </c>
      <c r="W100" s="8" t="s">
        <v>723</v>
      </c>
      <c r="X100" s="6"/>
      <c r="Y100" s="6"/>
      <c r="Z100" s="6"/>
      <c r="AA100" s="6" t="s">
        <v>183</v>
      </c>
      <c r="AB100" s="8"/>
    </row>
    <row r="101" spans="1:28" s="4" customFormat="1" ht="44.1" customHeight="1">
      <c r="A101" s="5">
        <v>0</v>
      </c>
      <c r="B101" s="6" t="s">
        <v>724</v>
      </c>
      <c r="C101" s="7">
        <v>1032</v>
      </c>
      <c r="D101" s="8" t="s">
        <v>725</v>
      </c>
      <c r="E101" s="8" t="s">
        <v>726</v>
      </c>
      <c r="F101" s="8" t="s">
        <v>727</v>
      </c>
      <c r="G101" s="6" t="s">
        <v>38</v>
      </c>
      <c r="H101" s="6" t="s">
        <v>39</v>
      </c>
      <c r="I101" s="8" t="s">
        <v>40</v>
      </c>
      <c r="J101" s="9">
        <v>1</v>
      </c>
      <c r="K101" s="9">
        <v>232</v>
      </c>
      <c r="L101" s="9">
        <v>2021</v>
      </c>
      <c r="M101" s="8" t="s">
        <v>728</v>
      </c>
      <c r="N101" s="8" t="s">
        <v>144</v>
      </c>
      <c r="O101" s="8" t="s">
        <v>145</v>
      </c>
      <c r="P101" s="6" t="s">
        <v>44</v>
      </c>
      <c r="Q101" s="8" t="s">
        <v>45</v>
      </c>
      <c r="R101" s="10" t="s">
        <v>729</v>
      </c>
      <c r="S101" s="11"/>
      <c r="T101" s="6"/>
      <c r="U101" s="24" t="str">
        <f>HYPERLINK("https://media.infra-m.ru/1158/1158751/cover/1158751.jpg", "Обложка")</f>
        <v>Обложка</v>
      </c>
      <c r="V101" s="24" t="str">
        <f>HYPERLINK("https://znanium.ru/catalog/product/1158751", "Ознакомиться")</f>
        <v>Ознакомиться</v>
      </c>
      <c r="W101" s="8" t="s">
        <v>730</v>
      </c>
      <c r="X101" s="6"/>
      <c r="Y101" s="6"/>
      <c r="Z101" s="6"/>
      <c r="AA101" s="6" t="s">
        <v>129</v>
      </c>
      <c r="AB101" s="8"/>
    </row>
    <row r="102" spans="1:28" s="4" customFormat="1" ht="42" customHeight="1">
      <c r="A102" s="5">
        <v>0</v>
      </c>
      <c r="B102" s="6" t="s">
        <v>731</v>
      </c>
      <c r="C102" s="7">
        <v>2996.4</v>
      </c>
      <c r="D102" s="8" t="s">
        <v>732</v>
      </c>
      <c r="E102" s="8" t="s">
        <v>733</v>
      </c>
      <c r="F102" s="8"/>
      <c r="G102" s="6" t="s">
        <v>38</v>
      </c>
      <c r="H102" s="6" t="s">
        <v>39</v>
      </c>
      <c r="I102" s="8"/>
      <c r="J102" s="9">
        <v>20</v>
      </c>
      <c r="K102" s="9">
        <v>49</v>
      </c>
      <c r="L102" s="9">
        <v>2024</v>
      </c>
      <c r="M102" s="8"/>
      <c r="N102" s="8" t="s">
        <v>177</v>
      </c>
      <c r="O102" s="8" t="s">
        <v>734</v>
      </c>
      <c r="P102" s="6" t="s">
        <v>121</v>
      </c>
      <c r="Q102" s="8"/>
      <c r="R102" s="10"/>
      <c r="S102" s="11"/>
      <c r="T102" s="6"/>
      <c r="U102" s="24" t="str">
        <f>HYPERLINK("https://media.infra-m.ru/2092/2092317/cover/2092317.jpg", "Обложка")</f>
        <v>Обложка</v>
      </c>
      <c r="V102" s="24" t="str">
        <f>HYPERLINK("https://znanium.ru/catalog/product/2174189", "Ознакомиться")</f>
        <v>Ознакомиться</v>
      </c>
      <c r="W102" s="8"/>
      <c r="X102" s="6"/>
      <c r="Y102" s="6"/>
      <c r="Z102" s="6"/>
      <c r="AA102" s="6" t="s">
        <v>264</v>
      </c>
      <c r="AB102" s="8"/>
    </row>
    <row r="103" spans="1:28" s="4" customFormat="1" ht="42" customHeight="1">
      <c r="A103" s="5">
        <v>0</v>
      </c>
      <c r="B103" s="6" t="s">
        <v>735</v>
      </c>
      <c r="C103" s="7">
        <v>2996.4</v>
      </c>
      <c r="D103" s="8" t="s">
        <v>736</v>
      </c>
      <c r="E103" s="8" t="s">
        <v>737</v>
      </c>
      <c r="F103" s="8"/>
      <c r="G103" s="6" t="s">
        <v>38</v>
      </c>
      <c r="H103" s="6" t="s">
        <v>39</v>
      </c>
      <c r="I103" s="8"/>
      <c r="J103" s="9">
        <v>1</v>
      </c>
      <c r="K103" s="9">
        <v>52</v>
      </c>
      <c r="L103" s="9">
        <v>2025</v>
      </c>
      <c r="M103" s="8"/>
      <c r="N103" s="8" t="s">
        <v>177</v>
      </c>
      <c r="O103" s="8" t="s">
        <v>734</v>
      </c>
      <c r="P103" s="6" t="s">
        <v>121</v>
      </c>
      <c r="Q103" s="8"/>
      <c r="R103" s="10"/>
      <c r="S103" s="11"/>
      <c r="T103" s="6"/>
      <c r="U103" s="24" t="str">
        <f>HYPERLINK("https://media.infra-m.ru/2174/2174189/cover/2174189.jpg", "Обложка")</f>
        <v>Обложка</v>
      </c>
      <c r="V103" s="24" t="str">
        <f>HYPERLINK("https://znanium.ru/catalog/product/2174189", "Ознакомиться")</f>
        <v>Ознакомиться</v>
      </c>
      <c r="W103" s="8"/>
      <c r="X103" s="6" t="s">
        <v>738</v>
      </c>
      <c r="Y103" s="6"/>
      <c r="Z103" s="6"/>
      <c r="AA103" s="6" t="s">
        <v>264</v>
      </c>
      <c r="AB103" s="8"/>
    </row>
    <row r="104" spans="1:28" s="4" customFormat="1" ht="51.95" customHeight="1">
      <c r="A104" s="5">
        <v>0</v>
      </c>
      <c r="B104" s="6" t="s">
        <v>739</v>
      </c>
      <c r="C104" s="7">
        <v>1396.8</v>
      </c>
      <c r="D104" s="8" t="s">
        <v>740</v>
      </c>
      <c r="E104" s="8" t="s">
        <v>741</v>
      </c>
      <c r="F104" s="8" t="s">
        <v>742</v>
      </c>
      <c r="G104" s="6" t="s">
        <v>38</v>
      </c>
      <c r="H104" s="6" t="s">
        <v>39</v>
      </c>
      <c r="I104" s="8" t="s">
        <v>40</v>
      </c>
      <c r="J104" s="9">
        <v>1</v>
      </c>
      <c r="K104" s="9">
        <v>253</v>
      </c>
      <c r="L104" s="9">
        <v>2024</v>
      </c>
      <c r="M104" s="8" t="s">
        <v>743</v>
      </c>
      <c r="N104" s="8" t="s">
        <v>42</v>
      </c>
      <c r="O104" s="8" t="s">
        <v>72</v>
      </c>
      <c r="P104" s="6" t="s">
        <v>44</v>
      </c>
      <c r="Q104" s="8" t="s">
        <v>45</v>
      </c>
      <c r="R104" s="10" t="s">
        <v>744</v>
      </c>
      <c r="S104" s="11"/>
      <c r="T104" s="6"/>
      <c r="U104" s="24" t="str">
        <f>HYPERLINK("https://media.infra-m.ru/1904/1904231/cover/1904231.jpg", "Обложка")</f>
        <v>Обложка</v>
      </c>
      <c r="V104" s="24" t="str">
        <f>HYPERLINK("https://znanium.ru/catalog/product/1904231", "Ознакомиться")</f>
        <v>Ознакомиться</v>
      </c>
      <c r="W104" s="8" t="s">
        <v>745</v>
      </c>
      <c r="X104" s="6"/>
      <c r="Y104" s="6"/>
      <c r="Z104" s="6"/>
      <c r="AA104" s="6" t="s">
        <v>129</v>
      </c>
      <c r="AB104" s="8"/>
    </row>
    <row r="105" spans="1:28" s="4" customFormat="1" ht="51.95" customHeight="1">
      <c r="A105" s="5">
        <v>0</v>
      </c>
      <c r="B105" s="6" t="s">
        <v>746</v>
      </c>
      <c r="C105" s="7">
        <v>1404</v>
      </c>
      <c r="D105" s="8" t="s">
        <v>747</v>
      </c>
      <c r="E105" s="8" t="s">
        <v>748</v>
      </c>
      <c r="F105" s="8" t="s">
        <v>749</v>
      </c>
      <c r="G105" s="6" t="s">
        <v>96</v>
      </c>
      <c r="H105" s="6" t="s">
        <v>39</v>
      </c>
      <c r="I105" s="8" t="s">
        <v>40</v>
      </c>
      <c r="J105" s="9">
        <v>1</v>
      </c>
      <c r="K105" s="9">
        <v>227</v>
      </c>
      <c r="L105" s="9">
        <v>2025</v>
      </c>
      <c r="M105" s="8" t="s">
        <v>750</v>
      </c>
      <c r="N105" s="8" t="s">
        <v>42</v>
      </c>
      <c r="O105" s="8" t="s">
        <v>43</v>
      </c>
      <c r="P105" s="6" t="s">
        <v>44</v>
      </c>
      <c r="Q105" s="8" t="s">
        <v>45</v>
      </c>
      <c r="R105" s="10" t="s">
        <v>751</v>
      </c>
      <c r="S105" s="11"/>
      <c r="T105" s="6"/>
      <c r="U105" s="24" t="str">
        <f>HYPERLINK("https://media.infra-m.ru/2131/2131275/cover/2131275.jpg", "Обложка")</f>
        <v>Обложка</v>
      </c>
      <c r="V105" s="24" t="str">
        <f>HYPERLINK("https://znanium.ru/catalog/product/2131275", "Ознакомиться")</f>
        <v>Ознакомиться</v>
      </c>
      <c r="W105" s="8" t="s">
        <v>493</v>
      </c>
      <c r="X105" s="6"/>
      <c r="Y105" s="6"/>
      <c r="Z105" s="6"/>
      <c r="AA105" s="6" t="s">
        <v>360</v>
      </c>
      <c r="AB105" s="8" t="s">
        <v>752</v>
      </c>
    </row>
    <row r="106" spans="1:28" s="4" customFormat="1" ht="51.95" customHeight="1">
      <c r="A106" s="5">
        <v>0</v>
      </c>
      <c r="B106" s="6" t="s">
        <v>753</v>
      </c>
      <c r="C106" s="7">
        <v>1048.8</v>
      </c>
      <c r="D106" s="8" t="s">
        <v>754</v>
      </c>
      <c r="E106" s="8" t="s">
        <v>755</v>
      </c>
      <c r="F106" s="8" t="s">
        <v>756</v>
      </c>
      <c r="G106" s="6" t="s">
        <v>38</v>
      </c>
      <c r="H106" s="6" t="s">
        <v>39</v>
      </c>
      <c r="I106" s="8" t="s">
        <v>757</v>
      </c>
      <c r="J106" s="9">
        <v>1</v>
      </c>
      <c r="K106" s="9">
        <v>168</v>
      </c>
      <c r="L106" s="9">
        <v>2026</v>
      </c>
      <c r="M106" s="8" t="s">
        <v>758</v>
      </c>
      <c r="N106" s="8" t="s">
        <v>119</v>
      </c>
      <c r="O106" s="8" t="s">
        <v>120</v>
      </c>
      <c r="P106" s="6" t="s">
        <v>459</v>
      </c>
      <c r="Q106" s="8" t="s">
        <v>45</v>
      </c>
      <c r="R106" s="10" t="s">
        <v>759</v>
      </c>
      <c r="S106" s="11"/>
      <c r="T106" s="6"/>
      <c r="U106" s="24" t="str">
        <f>HYPERLINK("https://media.infra-m.ru/2219/2219576/cover/2219576.jpg", "Обложка")</f>
        <v>Обложка</v>
      </c>
      <c r="V106" s="24" t="str">
        <f>HYPERLINK("https://znanium.ru/catalog/product/2124765", "Ознакомиться")</f>
        <v>Ознакомиться</v>
      </c>
      <c r="W106" s="8" t="s">
        <v>760</v>
      </c>
      <c r="X106" s="6"/>
      <c r="Y106" s="6" t="s">
        <v>30</v>
      </c>
      <c r="Z106" s="6"/>
      <c r="AA106" s="6" t="s">
        <v>227</v>
      </c>
      <c r="AB106" s="8"/>
    </row>
    <row r="107" spans="1:28" s="4" customFormat="1" ht="51.95" customHeight="1">
      <c r="A107" s="5">
        <v>0</v>
      </c>
      <c r="B107" s="6" t="s">
        <v>761</v>
      </c>
      <c r="C107" s="7">
        <v>1296</v>
      </c>
      <c r="D107" s="8" t="s">
        <v>762</v>
      </c>
      <c r="E107" s="8" t="s">
        <v>763</v>
      </c>
      <c r="F107" s="8" t="s">
        <v>764</v>
      </c>
      <c r="G107" s="6" t="s">
        <v>62</v>
      </c>
      <c r="H107" s="6" t="s">
        <v>167</v>
      </c>
      <c r="I107" s="8"/>
      <c r="J107" s="9">
        <v>1</v>
      </c>
      <c r="K107" s="9">
        <v>216</v>
      </c>
      <c r="L107" s="9">
        <v>2025</v>
      </c>
      <c r="M107" s="8" t="s">
        <v>765</v>
      </c>
      <c r="N107" s="8" t="s">
        <v>423</v>
      </c>
      <c r="O107" s="8" t="s">
        <v>766</v>
      </c>
      <c r="P107" s="6" t="s">
        <v>179</v>
      </c>
      <c r="Q107" s="8" t="s">
        <v>200</v>
      </c>
      <c r="R107" s="10" t="s">
        <v>767</v>
      </c>
      <c r="S107" s="11"/>
      <c r="T107" s="6"/>
      <c r="U107" s="24" t="str">
        <f>HYPERLINK("https://media.infra-m.ru/2165/2165225/cover/2165225.jpg", "Обложка")</f>
        <v>Обложка</v>
      </c>
      <c r="V107" s="24" t="str">
        <f>HYPERLINK("https://znanium.ru/catalog/product/2165225", "Ознакомиться")</f>
        <v>Ознакомиться</v>
      </c>
      <c r="W107" s="8" t="s">
        <v>768</v>
      </c>
      <c r="X107" s="6"/>
      <c r="Y107" s="6"/>
      <c r="Z107" s="6"/>
      <c r="AA107" s="6" t="s">
        <v>208</v>
      </c>
      <c r="AB107" s="8"/>
    </row>
    <row r="108" spans="1:28" s="4" customFormat="1" ht="51.95" customHeight="1">
      <c r="A108" s="5">
        <v>0</v>
      </c>
      <c r="B108" s="6" t="s">
        <v>769</v>
      </c>
      <c r="C108" s="13">
        <v>708</v>
      </c>
      <c r="D108" s="8" t="s">
        <v>770</v>
      </c>
      <c r="E108" s="8" t="s">
        <v>771</v>
      </c>
      <c r="F108" s="8" t="s">
        <v>764</v>
      </c>
      <c r="G108" s="6" t="s">
        <v>38</v>
      </c>
      <c r="H108" s="6" t="s">
        <v>167</v>
      </c>
      <c r="I108" s="8"/>
      <c r="J108" s="9">
        <v>1</v>
      </c>
      <c r="K108" s="9">
        <v>144</v>
      </c>
      <c r="L108" s="9">
        <v>2021</v>
      </c>
      <c r="M108" s="8" t="s">
        <v>772</v>
      </c>
      <c r="N108" s="8" t="s">
        <v>423</v>
      </c>
      <c r="O108" s="8" t="s">
        <v>766</v>
      </c>
      <c r="P108" s="6" t="s">
        <v>179</v>
      </c>
      <c r="Q108" s="8" t="s">
        <v>200</v>
      </c>
      <c r="R108" s="10" t="s">
        <v>767</v>
      </c>
      <c r="S108" s="11"/>
      <c r="T108" s="6"/>
      <c r="U108" s="24" t="str">
        <f>HYPERLINK("https://media.infra-m.ru/1353/1353632/cover/1353632.jpg", "Обложка")</f>
        <v>Обложка</v>
      </c>
      <c r="V108" s="24" t="str">
        <f>HYPERLINK("https://znanium.ru/catalog/product/2165225", "Ознакомиться")</f>
        <v>Ознакомиться</v>
      </c>
      <c r="W108" s="8" t="s">
        <v>768</v>
      </c>
      <c r="X108" s="6"/>
      <c r="Y108" s="6"/>
      <c r="Z108" s="6"/>
      <c r="AA108" s="6" t="s">
        <v>227</v>
      </c>
      <c r="AB108" s="8"/>
    </row>
    <row r="109" spans="1:28" s="4" customFormat="1" ht="42" customHeight="1">
      <c r="A109" s="5">
        <v>0</v>
      </c>
      <c r="B109" s="6" t="s">
        <v>773</v>
      </c>
      <c r="C109" s="7">
        <v>1293.5999999999999</v>
      </c>
      <c r="D109" s="8" t="s">
        <v>774</v>
      </c>
      <c r="E109" s="8" t="s">
        <v>775</v>
      </c>
      <c r="F109" s="8" t="s">
        <v>776</v>
      </c>
      <c r="G109" s="6" t="s">
        <v>38</v>
      </c>
      <c r="H109" s="6" t="s">
        <v>167</v>
      </c>
      <c r="I109" s="8"/>
      <c r="J109" s="9">
        <v>1</v>
      </c>
      <c r="K109" s="9">
        <v>352</v>
      </c>
      <c r="L109" s="9">
        <v>2024</v>
      </c>
      <c r="M109" s="8" t="s">
        <v>777</v>
      </c>
      <c r="N109" s="8" t="s">
        <v>42</v>
      </c>
      <c r="O109" s="8" t="s">
        <v>72</v>
      </c>
      <c r="P109" s="6" t="s">
        <v>44</v>
      </c>
      <c r="Q109" s="8" t="s">
        <v>45</v>
      </c>
      <c r="R109" s="10" t="s">
        <v>778</v>
      </c>
      <c r="S109" s="11"/>
      <c r="T109" s="6"/>
      <c r="U109" s="24" t="str">
        <f>HYPERLINK("https://media.infra-m.ru/2123/2123354/cover/2123354.jpg", "Обложка")</f>
        <v>Обложка</v>
      </c>
      <c r="V109" s="24" t="str">
        <f>HYPERLINK("https://znanium.ru/catalog/product/1865725", "Ознакомиться")</f>
        <v>Ознакомиться</v>
      </c>
      <c r="W109" s="8" t="s">
        <v>202</v>
      </c>
      <c r="X109" s="6"/>
      <c r="Y109" s="6"/>
      <c r="Z109" s="6"/>
      <c r="AA109" s="6" t="s">
        <v>551</v>
      </c>
      <c r="AB109" s="8"/>
    </row>
    <row r="110" spans="1:28" s="4" customFormat="1" ht="51.95" customHeight="1">
      <c r="A110" s="5">
        <v>0</v>
      </c>
      <c r="B110" s="6" t="s">
        <v>779</v>
      </c>
      <c r="C110" s="7">
        <v>3192</v>
      </c>
      <c r="D110" s="8" t="s">
        <v>780</v>
      </c>
      <c r="E110" s="8" t="s">
        <v>781</v>
      </c>
      <c r="F110" s="8" t="s">
        <v>782</v>
      </c>
      <c r="G110" s="6" t="s">
        <v>38</v>
      </c>
      <c r="H110" s="6" t="s">
        <v>39</v>
      </c>
      <c r="I110" s="8" t="s">
        <v>340</v>
      </c>
      <c r="J110" s="9">
        <v>1</v>
      </c>
      <c r="K110" s="9">
        <v>652</v>
      </c>
      <c r="L110" s="9">
        <v>2023</v>
      </c>
      <c r="M110" s="8" t="s">
        <v>783</v>
      </c>
      <c r="N110" s="8" t="s">
        <v>42</v>
      </c>
      <c r="O110" s="8" t="s">
        <v>43</v>
      </c>
      <c r="P110" s="6" t="s">
        <v>271</v>
      </c>
      <c r="Q110" s="8" t="s">
        <v>784</v>
      </c>
      <c r="R110" s="10" t="s">
        <v>785</v>
      </c>
      <c r="S110" s="11"/>
      <c r="T110" s="6"/>
      <c r="U110" s="24" t="str">
        <f>HYPERLINK("https://media.infra-m.ru/1979/1979144/cover/1979144.jpg", "Обложка")</f>
        <v>Обложка</v>
      </c>
      <c r="V110" s="24" t="str">
        <f>HYPERLINK("https://znanium.ru/catalog/product/1979144", "Ознакомиться")</f>
        <v>Ознакомиться</v>
      </c>
      <c r="W110" s="8" t="s">
        <v>786</v>
      </c>
      <c r="X110" s="6"/>
      <c r="Y110" s="6"/>
      <c r="Z110" s="6"/>
      <c r="AA110" s="6" t="s">
        <v>264</v>
      </c>
      <c r="AB110" s="8"/>
    </row>
    <row r="111" spans="1:28" s="4" customFormat="1" ht="42" customHeight="1">
      <c r="A111" s="5">
        <v>0</v>
      </c>
      <c r="B111" s="6" t="s">
        <v>787</v>
      </c>
      <c r="C111" s="7">
        <v>3096</v>
      </c>
      <c r="D111" s="8" t="s">
        <v>788</v>
      </c>
      <c r="E111" s="8" t="s">
        <v>789</v>
      </c>
      <c r="F111" s="8" t="s">
        <v>782</v>
      </c>
      <c r="G111" s="6" t="s">
        <v>38</v>
      </c>
      <c r="H111" s="6" t="s">
        <v>39</v>
      </c>
      <c r="I111" s="8" t="s">
        <v>340</v>
      </c>
      <c r="J111" s="9">
        <v>1</v>
      </c>
      <c r="K111" s="9">
        <v>631</v>
      </c>
      <c r="L111" s="9">
        <v>2023</v>
      </c>
      <c r="M111" s="8" t="s">
        <v>790</v>
      </c>
      <c r="N111" s="8" t="s">
        <v>42</v>
      </c>
      <c r="O111" s="8" t="s">
        <v>43</v>
      </c>
      <c r="P111" s="6" t="s">
        <v>271</v>
      </c>
      <c r="Q111" s="8" t="s">
        <v>45</v>
      </c>
      <c r="R111" s="10" t="s">
        <v>335</v>
      </c>
      <c r="S111" s="11"/>
      <c r="T111" s="6"/>
      <c r="U111" s="24" t="str">
        <f>HYPERLINK("https://media.infra-m.ru/1979/1979146/cover/1979146.jpg", "Обложка")</f>
        <v>Обложка</v>
      </c>
      <c r="V111" s="24" t="str">
        <f>HYPERLINK("https://znanium.ru/catalog/product/1979146", "Ознакомиться")</f>
        <v>Ознакомиться</v>
      </c>
      <c r="W111" s="8" t="s">
        <v>786</v>
      </c>
      <c r="X111" s="6"/>
      <c r="Y111" s="6"/>
      <c r="Z111" s="6"/>
      <c r="AA111" s="6" t="s">
        <v>264</v>
      </c>
      <c r="AB111" s="8"/>
    </row>
    <row r="112" spans="1:28" s="4" customFormat="1" ht="51.95" customHeight="1">
      <c r="A112" s="5">
        <v>0</v>
      </c>
      <c r="B112" s="6" t="s">
        <v>791</v>
      </c>
      <c r="C112" s="7">
        <v>3036</v>
      </c>
      <c r="D112" s="8" t="s">
        <v>792</v>
      </c>
      <c r="E112" s="8" t="s">
        <v>781</v>
      </c>
      <c r="F112" s="8" t="s">
        <v>782</v>
      </c>
      <c r="G112" s="6" t="s">
        <v>38</v>
      </c>
      <c r="H112" s="6" t="s">
        <v>39</v>
      </c>
      <c r="I112" s="8" t="s">
        <v>340</v>
      </c>
      <c r="J112" s="9">
        <v>1</v>
      </c>
      <c r="K112" s="9">
        <v>621</v>
      </c>
      <c r="L112" s="9">
        <v>2023</v>
      </c>
      <c r="M112" s="8" t="s">
        <v>793</v>
      </c>
      <c r="N112" s="8" t="s">
        <v>42</v>
      </c>
      <c r="O112" s="8" t="s">
        <v>43</v>
      </c>
      <c r="P112" s="6" t="s">
        <v>271</v>
      </c>
      <c r="Q112" s="8" t="s">
        <v>45</v>
      </c>
      <c r="R112" s="10" t="s">
        <v>785</v>
      </c>
      <c r="S112" s="11"/>
      <c r="T112" s="6"/>
      <c r="U112" s="24" t="str">
        <f>HYPERLINK("https://media.infra-m.ru/1979/1979145/cover/1979145.jpg", "Обложка")</f>
        <v>Обложка</v>
      </c>
      <c r="V112" s="24" t="str">
        <f>HYPERLINK("https://znanium.ru/catalog/product/1979145", "Ознакомиться")</f>
        <v>Ознакомиться</v>
      </c>
      <c r="W112" s="8" t="s">
        <v>786</v>
      </c>
      <c r="X112" s="6"/>
      <c r="Y112" s="6"/>
      <c r="Z112" s="6"/>
      <c r="AA112" s="6" t="s">
        <v>264</v>
      </c>
      <c r="AB112" s="8"/>
    </row>
    <row r="113" spans="1:28" s="4" customFormat="1" ht="42" customHeight="1">
      <c r="A113" s="5">
        <v>0</v>
      </c>
      <c r="B113" s="6" t="s">
        <v>794</v>
      </c>
      <c r="C113" s="7">
        <v>1344</v>
      </c>
      <c r="D113" s="8" t="s">
        <v>795</v>
      </c>
      <c r="E113" s="8" t="s">
        <v>796</v>
      </c>
      <c r="F113" s="8" t="s">
        <v>797</v>
      </c>
      <c r="G113" s="6" t="s">
        <v>62</v>
      </c>
      <c r="H113" s="6" t="s">
        <v>39</v>
      </c>
      <c r="I113" s="8" t="s">
        <v>340</v>
      </c>
      <c r="J113" s="9">
        <v>1</v>
      </c>
      <c r="K113" s="9">
        <v>247</v>
      </c>
      <c r="L113" s="9">
        <v>2023</v>
      </c>
      <c r="M113" s="8" t="s">
        <v>798</v>
      </c>
      <c r="N113" s="8" t="s">
        <v>119</v>
      </c>
      <c r="O113" s="8" t="s">
        <v>613</v>
      </c>
      <c r="P113" s="6" t="s">
        <v>271</v>
      </c>
      <c r="Q113" s="8" t="s">
        <v>180</v>
      </c>
      <c r="R113" s="10" t="s">
        <v>799</v>
      </c>
      <c r="S113" s="11"/>
      <c r="T113" s="6"/>
      <c r="U113" s="24" t="str">
        <f>HYPERLINK("https://media.infra-m.ru/2019/2019765/cover/2019765.jpg", "Обложка")</f>
        <v>Обложка</v>
      </c>
      <c r="V113" s="24" t="str">
        <f>HYPERLINK("https://znanium.ru/catalog/product/2019765", "Ознакомиться")</f>
        <v>Ознакомиться</v>
      </c>
      <c r="W113" s="8" t="s">
        <v>800</v>
      </c>
      <c r="X113" s="6"/>
      <c r="Y113" s="6"/>
      <c r="Z113" s="6"/>
      <c r="AA113" s="6" t="s">
        <v>57</v>
      </c>
      <c r="AB113" s="8"/>
    </row>
    <row r="114" spans="1:28" s="4" customFormat="1" ht="44.1" customHeight="1">
      <c r="A114" s="5">
        <v>0</v>
      </c>
      <c r="B114" s="6" t="s">
        <v>801</v>
      </c>
      <c r="C114" s="7">
        <v>1476</v>
      </c>
      <c r="D114" s="8" t="s">
        <v>802</v>
      </c>
      <c r="E114" s="8" t="s">
        <v>803</v>
      </c>
      <c r="F114" s="8" t="s">
        <v>804</v>
      </c>
      <c r="G114" s="6" t="s">
        <v>96</v>
      </c>
      <c r="H114" s="6" t="s">
        <v>39</v>
      </c>
      <c r="I114" s="8" t="s">
        <v>40</v>
      </c>
      <c r="J114" s="9">
        <v>1</v>
      </c>
      <c r="K114" s="9">
        <v>314</v>
      </c>
      <c r="L114" s="9">
        <v>2022</v>
      </c>
      <c r="M114" s="8" t="s">
        <v>805</v>
      </c>
      <c r="N114" s="8" t="s">
        <v>42</v>
      </c>
      <c r="O114" s="8" t="s">
        <v>72</v>
      </c>
      <c r="P114" s="6" t="s">
        <v>44</v>
      </c>
      <c r="Q114" s="8" t="s">
        <v>45</v>
      </c>
      <c r="R114" s="10" t="s">
        <v>806</v>
      </c>
      <c r="S114" s="11"/>
      <c r="T114" s="6"/>
      <c r="U114" s="24" t="str">
        <f>HYPERLINK("https://media.infra-m.ru/1660/1660953/cover/1660953.jpg", "Обложка")</f>
        <v>Обложка</v>
      </c>
      <c r="V114" s="24" t="str">
        <f>HYPERLINK("https://znanium.ru/catalog/product/1660953", "Ознакомиться")</f>
        <v>Ознакомиться</v>
      </c>
      <c r="W114" s="8" t="s">
        <v>807</v>
      </c>
      <c r="X114" s="6"/>
      <c r="Y114" s="6"/>
      <c r="Z114" s="6"/>
      <c r="AA114" s="6" t="s">
        <v>83</v>
      </c>
      <c r="AB114" s="8"/>
    </row>
    <row r="115" spans="1:28" s="4" customFormat="1" ht="42" customHeight="1">
      <c r="A115" s="5">
        <v>0</v>
      </c>
      <c r="B115" s="6" t="s">
        <v>808</v>
      </c>
      <c r="C115" s="7">
        <v>1188</v>
      </c>
      <c r="D115" s="8" t="s">
        <v>809</v>
      </c>
      <c r="E115" s="8" t="s">
        <v>810</v>
      </c>
      <c r="F115" s="8" t="s">
        <v>811</v>
      </c>
      <c r="G115" s="6" t="s">
        <v>38</v>
      </c>
      <c r="H115" s="6" t="s">
        <v>39</v>
      </c>
      <c r="I115" s="8" t="s">
        <v>40</v>
      </c>
      <c r="J115" s="9">
        <v>1</v>
      </c>
      <c r="K115" s="9">
        <v>187</v>
      </c>
      <c r="L115" s="9">
        <v>2025</v>
      </c>
      <c r="M115" s="8" t="s">
        <v>812</v>
      </c>
      <c r="N115" s="8" t="s">
        <v>42</v>
      </c>
      <c r="O115" s="8" t="s">
        <v>43</v>
      </c>
      <c r="P115" s="6" t="s">
        <v>44</v>
      </c>
      <c r="Q115" s="8" t="s">
        <v>45</v>
      </c>
      <c r="R115" s="10" t="s">
        <v>518</v>
      </c>
      <c r="S115" s="11"/>
      <c r="T115" s="6"/>
      <c r="U115" s="24" t="str">
        <f>HYPERLINK("https://media.infra-m.ru/2074/2074252/cover/2074252.jpg", "Обложка")</f>
        <v>Обложка</v>
      </c>
      <c r="V115" s="24" t="str">
        <f>HYPERLINK("https://znanium.ru/catalog/product/2074252", "Ознакомиться")</f>
        <v>Ознакомиться</v>
      </c>
      <c r="W115" s="8" t="s">
        <v>813</v>
      </c>
      <c r="X115" s="6"/>
      <c r="Y115" s="6"/>
      <c r="Z115" s="6"/>
      <c r="AA115" s="6" t="s">
        <v>360</v>
      </c>
      <c r="AB115" s="8"/>
    </row>
    <row r="116" spans="1:28" s="4" customFormat="1" ht="51.95" customHeight="1">
      <c r="A116" s="5">
        <v>0</v>
      </c>
      <c r="B116" s="6" t="s">
        <v>814</v>
      </c>
      <c r="C116" s="7">
        <v>1032</v>
      </c>
      <c r="D116" s="8" t="s">
        <v>815</v>
      </c>
      <c r="E116" s="8" t="s">
        <v>816</v>
      </c>
      <c r="F116" s="8" t="s">
        <v>817</v>
      </c>
      <c r="G116" s="6" t="s">
        <v>38</v>
      </c>
      <c r="H116" s="6" t="s">
        <v>39</v>
      </c>
      <c r="I116" s="8"/>
      <c r="J116" s="9">
        <v>1</v>
      </c>
      <c r="K116" s="9">
        <v>160</v>
      </c>
      <c r="L116" s="9">
        <v>2026</v>
      </c>
      <c r="M116" s="8" t="s">
        <v>818</v>
      </c>
      <c r="N116" s="8" t="s">
        <v>42</v>
      </c>
      <c r="O116" s="8" t="s">
        <v>104</v>
      </c>
      <c r="P116" s="6" t="s">
        <v>44</v>
      </c>
      <c r="Q116" s="8" t="s">
        <v>45</v>
      </c>
      <c r="R116" s="10" t="s">
        <v>819</v>
      </c>
      <c r="S116" s="11"/>
      <c r="T116" s="6"/>
      <c r="U116" s="24" t="str">
        <f>HYPERLINK("https://media.infra-m.ru/2221/2221516/cover/2221516.jpg", "Обложка")</f>
        <v>Обложка</v>
      </c>
      <c r="V116" s="24" t="str">
        <f>HYPERLINK("https://znanium.ru/catalog/product/1897823", "Ознакомиться")</f>
        <v>Ознакомиться</v>
      </c>
      <c r="W116" s="8" t="s">
        <v>820</v>
      </c>
      <c r="X116" s="6"/>
      <c r="Y116" s="6"/>
      <c r="Z116" s="6"/>
      <c r="AA116" s="6" t="s">
        <v>273</v>
      </c>
      <c r="AB116" s="8"/>
    </row>
    <row r="117" spans="1:28" s="4" customFormat="1" ht="51.95" customHeight="1">
      <c r="A117" s="5">
        <v>0</v>
      </c>
      <c r="B117" s="6" t="s">
        <v>821</v>
      </c>
      <c r="C117" s="7">
        <v>1205.9000000000001</v>
      </c>
      <c r="D117" s="8" t="s">
        <v>822</v>
      </c>
      <c r="E117" s="8" t="s">
        <v>823</v>
      </c>
      <c r="F117" s="8" t="s">
        <v>824</v>
      </c>
      <c r="G117" s="6" t="s">
        <v>38</v>
      </c>
      <c r="H117" s="6" t="s">
        <v>39</v>
      </c>
      <c r="I117" s="8" t="s">
        <v>40</v>
      </c>
      <c r="J117" s="9">
        <v>1</v>
      </c>
      <c r="K117" s="9">
        <v>324</v>
      </c>
      <c r="L117" s="9">
        <v>2017</v>
      </c>
      <c r="M117" s="8" t="s">
        <v>825</v>
      </c>
      <c r="N117" s="8" t="s">
        <v>42</v>
      </c>
      <c r="O117" s="8" t="s">
        <v>72</v>
      </c>
      <c r="P117" s="6" t="s">
        <v>44</v>
      </c>
      <c r="Q117" s="8" t="s">
        <v>45</v>
      </c>
      <c r="R117" s="10" t="s">
        <v>826</v>
      </c>
      <c r="S117" s="11"/>
      <c r="T117" s="6"/>
      <c r="U117" s="24" t="str">
        <f>HYPERLINK("https://media.infra-m.ru/0769/0769934/cover/769934.jpg", "Обложка")</f>
        <v>Обложка</v>
      </c>
      <c r="V117" s="24" t="str">
        <f>HYPERLINK("https://znanium.ru/catalog/product/316335", "Ознакомиться")</f>
        <v>Ознакомиться</v>
      </c>
      <c r="W117" s="8" t="s">
        <v>315</v>
      </c>
      <c r="X117" s="6"/>
      <c r="Y117" s="6"/>
      <c r="Z117" s="6"/>
      <c r="AA117" s="6" t="s">
        <v>470</v>
      </c>
      <c r="AB117" s="8"/>
    </row>
    <row r="118" spans="1:28" s="4" customFormat="1" ht="51.95" customHeight="1">
      <c r="A118" s="5">
        <v>0</v>
      </c>
      <c r="B118" s="6" t="s">
        <v>827</v>
      </c>
      <c r="C118" s="7">
        <v>2580</v>
      </c>
      <c r="D118" s="8" t="s">
        <v>828</v>
      </c>
      <c r="E118" s="8" t="s">
        <v>829</v>
      </c>
      <c r="F118" s="8" t="s">
        <v>830</v>
      </c>
      <c r="G118" s="6" t="s">
        <v>38</v>
      </c>
      <c r="H118" s="6" t="s">
        <v>39</v>
      </c>
      <c r="I118" s="8" t="s">
        <v>40</v>
      </c>
      <c r="J118" s="9">
        <v>1</v>
      </c>
      <c r="K118" s="9">
        <v>412</v>
      </c>
      <c r="L118" s="9">
        <v>2026</v>
      </c>
      <c r="M118" s="8" t="s">
        <v>831</v>
      </c>
      <c r="N118" s="8" t="s">
        <v>42</v>
      </c>
      <c r="O118" s="8" t="s">
        <v>89</v>
      </c>
      <c r="P118" s="6" t="s">
        <v>44</v>
      </c>
      <c r="Q118" s="8" t="s">
        <v>45</v>
      </c>
      <c r="R118" s="10" t="s">
        <v>832</v>
      </c>
      <c r="S118" s="11"/>
      <c r="T118" s="6"/>
      <c r="U118" s="24" t="str">
        <f>HYPERLINK("https://media.infra-m.ru/2215/2215334/cover/2215334.jpg", "Обложка")</f>
        <v>Обложка</v>
      </c>
      <c r="V118" s="24" t="str">
        <f>HYPERLINK("https://znanium.ru/catalog/product/2215334", "Ознакомиться")</f>
        <v>Ознакомиться</v>
      </c>
      <c r="W118" s="8" t="s">
        <v>833</v>
      </c>
      <c r="X118" s="6"/>
      <c r="Y118" s="6"/>
      <c r="Z118" s="6"/>
      <c r="AA118" s="6" t="s">
        <v>91</v>
      </c>
      <c r="AB118" s="8" t="s">
        <v>834</v>
      </c>
    </row>
    <row r="119" spans="1:28" s="4" customFormat="1" ht="51.95" customHeight="1">
      <c r="A119" s="5">
        <v>0</v>
      </c>
      <c r="B119" s="6" t="s">
        <v>835</v>
      </c>
      <c r="C119" s="13">
        <v>136.80000000000001</v>
      </c>
      <c r="D119" s="8" t="s">
        <v>836</v>
      </c>
      <c r="E119" s="8" t="s">
        <v>837</v>
      </c>
      <c r="F119" s="8" t="s">
        <v>627</v>
      </c>
      <c r="G119" s="6" t="s">
        <v>38</v>
      </c>
      <c r="H119" s="6" t="s">
        <v>118</v>
      </c>
      <c r="I119" s="8"/>
      <c r="J119" s="9">
        <v>1</v>
      </c>
      <c r="K119" s="9">
        <v>11</v>
      </c>
      <c r="L119" s="9">
        <v>2024</v>
      </c>
      <c r="M119" s="8" t="s">
        <v>838</v>
      </c>
      <c r="N119" s="8" t="s">
        <v>119</v>
      </c>
      <c r="O119" s="8" t="s">
        <v>120</v>
      </c>
      <c r="P119" s="6" t="s">
        <v>631</v>
      </c>
      <c r="Q119" s="8" t="s">
        <v>45</v>
      </c>
      <c r="R119" s="10" t="s">
        <v>839</v>
      </c>
      <c r="S119" s="11"/>
      <c r="T119" s="6"/>
      <c r="U119" s="24" t="str">
        <f>HYPERLINK("https://media.infra-m.ru/2166/2166655/cover/2166655.jpg", "Обложка")</f>
        <v>Обложка</v>
      </c>
      <c r="V119" s="12"/>
      <c r="W119" s="8"/>
      <c r="X119" s="6"/>
      <c r="Y119" s="6"/>
      <c r="Z119" s="6"/>
      <c r="AA119" s="6" t="s">
        <v>840</v>
      </c>
      <c r="AB119" s="8"/>
    </row>
    <row r="120" spans="1:28" s="4" customFormat="1" ht="42" customHeight="1">
      <c r="A120" s="5">
        <v>0</v>
      </c>
      <c r="B120" s="6" t="s">
        <v>841</v>
      </c>
      <c r="C120" s="7">
        <v>3444</v>
      </c>
      <c r="D120" s="8" t="s">
        <v>842</v>
      </c>
      <c r="E120" s="8" t="s">
        <v>843</v>
      </c>
      <c r="F120" s="8"/>
      <c r="G120" s="6" t="s">
        <v>96</v>
      </c>
      <c r="H120" s="6" t="s">
        <v>39</v>
      </c>
      <c r="I120" s="8" t="s">
        <v>421</v>
      </c>
      <c r="J120" s="9">
        <v>1</v>
      </c>
      <c r="K120" s="9">
        <v>514</v>
      </c>
      <c r="L120" s="9">
        <v>2026</v>
      </c>
      <c r="M120" s="8" t="s">
        <v>844</v>
      </c>
      <c r="N120" s="8" t="s">
        <v>177</v>
      </c>
      <c r="O120" s="8" t="s">
        <v>565</v>
      </c>
      <c r="P120" s="6" t="s">
        <v>425</v>
      </c>
      <c r="Q120" s="8"/>
      <c r="R120" s="10" t="s">
        <v>845</v>
      </c>
      <c r="S120" s="11"/>
      <c r="T120" s="6" t="s">
        <v>633</v>
      </c>
      <c r="U120" s="24" t="str">
        <f>HYPERLINK("https://media.infra-m.ru/2176/2176673/cover/2176673.jpg", "Обложка")</f>
        <v>Обложка</v>
      </c>
      <c r="V120" s="12"/>
      <c r="W120" s="8"/>
      <c r="X120" s="6" t="s">
        <v>436</v>
      </c>
      <c r="Y120" s="6"/>
      <c r="Z120" s="6"/>
      <c r="AA120" s="6" t="s">
        <v>345</v>
      </c>
      <c r="AB120" s="8"/>
    </row>
    <row r="121" spans="1:28" s="4" customFormat="1" ht="42" customHeight="1">
      <c r="A121" s="5">
        <v>0</v>
      </c>
      <c r="B121" s="6" t="s">
        <v>846</v>
      </c>
      <c r="C121" s="7">
        <v>1792.8</v>
      </c>
      <c r="D121" s="8" t="s">
        <v>847</v>
      </c>
      <c r="E121" s="8" t="s">
        <v>848</v>
      </c>
      <c r="F121" s="8" t="s">
        <v>849</v>
      </c>
      <c r="G121" s="6" t="s">
        <v>62</v>
      </c>
      <c r="H121" s="6" t="s">
        <v>188</v>
      </c>
      <c r="I121" s="8" t="s">
        <v>421</v>
      </c>
      <c r="J121" s="9">
        <v>1</v>
      </c>
      <c r="K121" s="9">
        <v>288</v>
      </c>
      <c r="L121" s="9">
        <v>2025</v>
      </c>
      <c r="M121" s="8" t="s">
        <v>850</v>
      </c>
      <c r="N121" s="8" t="s">
        <v>42</v>
      </c>
      <c r="O121" s="8" t="s">
        <v>104</v>
      </c>
      <c r="P121" s="6" t="s">
        <v>425</v>
      </c>
      <c r="Q121" s="8"/>
      <c r="R121" s="10" t="s">
        <v>851</v>
      </c>
      <c r="S121" s="11"/>
      <c r="T121" s="6"/>
      <c r="U121" s="24" t="str">
        <f>HYPERLINK("https://media.infra-m.ru/2217/2217143/cover/2217143.jpg", "Обложка")</f>
        <v>Обложка</v>
      </c>
      <c r="V121" s="24" t="str">
        <f>HYPERLINK("https://znanium.ru/catalog/product/2212412", "Ознакомиться")</f>
        <v>Ознакомиться</v>
      </c>
      <c r="W121" s="8" t="s">
        <v>156</v>
      </c>
      <c r="X121" s="6"/>
      <c r="Y121" s="6"/>
      <c r="Z121" s="6"/>
      <c r="AA121" s="6" t="s">
        <v>203</v>
      </c>
      <c r="AB121" s="8"/>
    </row>
    <row r="122" spans="1:28" s="4" customFormat="1" ht="42" customHeight="1">
      <c r="A122" s="5">
        <v>0</v>
      </c>
      <c r="B122" s="6" t="s">
        <v>852</v>
      </c>
      <c r="C122" s="7">
        <v>2208</v>
      </c>
      <c r="D122" s="8" t="s">
        <v>853</v>
      </c>
      <c r="E122" s="8" t="s">
        <v>854</v>
      </c>
      <c r="F122" s="8" t="s">
        <v>855</v>
      </c>
      <c r="G122" s="6" t="s">
        <v>62</v>
      </c>
      <c r="H122" s="6" t="s">
        <v>39</v>
      </c>
      <c r="I122" s="8" t="s">
        <v>421</v>
      </c>
      <c r="J122" s="9">
        <v>1</v>
      </c>
      <c r="K122" s="9">
        <v>348</v>
      </c>
      <c r="L122" s="9">
        <v>2026</v>
      </c>
      <c r="M122" s="8" t="s">
        <v>856</v>
      </c>
      <c r="N122" s="8" t="s">
        <v>119</v>
      </c>
      <c r="O122" s="8" t="s">
        <v>432</v>
      </c>
      <c r="P122" s="6" t="s">
        <v>425</v>
      </c>
      <c r="Q122" s="8" t="s">
        <v>180</v>
      </c>
      <c r="R122" s="10" t="s">
        <v>857</v>
      </c>
      <c r="S122" s="11"/>
      <c r="T122" s="6"/>
      <c r="U122" s="24" t="str">
        <f>HYPERLINK("https://media.infra-m.ru/2206/2206783/cover/2206783.jpg", "Обложка")</f>
        <v>Обложка</v>
      </c>
      <c r="V122" s="24" t="str">
        <f>HYPERLINK("https://znanium.ru/catalog/product/2206783", "Ознакомиться")</f>
        <v>Ознакомиться</v>
      </c>
      <c r="W122" s="8" t="s">
        <v>858</v>
      </c>
      <c r="X122" s="6"/>
      <c r="Y122" s="6"/>
      <c r="Z122" s="6"/>
      <c r="AA122" s="6" t="s">
        <v>360</v>
      </c>
      <c r="AB122" s="8"/>
    </row>
    <row r="123" spans="1:28" s="4" customFormat="1" ht="42" customHeight="1">
      <c r="A123" s="5">
        <v>0</v>
      </c>
      <c r="B123" s="6" t="s">
        <v>859</v>
      </c>
      <c r="C123" s="7">
        <v>1836</v>
      </c>
      <c r="D123" s="8" t="s">
        <v>860</v>
      </c>
      <c r="E123" s="8" t="s">
        <v>861</v>
      </c>
      <c r="F123" s="8" t="s">
        <v>862</v>
      </c>
      <c r="G123" s="6" t="s">
        <v>38</v>
      </c>
      <c r="H123" s="6" t="s">
        <v>39</v>
      </c>
      <c r="I123" s="8" t="s">
        <v>40</v>
      </c>
      <c r="J123" s="9">
        <v>1</v>
      </c>
      <c r="K123" s="9">
        <v>331</v>
      </c>
      <c r="L123" s="9">
        <v>2024</v>
      </c>
      <c r="M123" s="8" t="s">
        <v>863</v>
      </c>
      <c r="N123" s="8" t="s">
        <v>144</v>
      </c>
      <c r="O123" s="8" t="s">
        <v>145</v>
      </c>
      <c r="P123" s="6" t="s">
        <v>44</v>
      </c>
      <c r="Q123" s="8" t="s">
        <v>45</v>
      </c>
      <c r="R123" s="10" t="s">
        <v>233</v>
      </c>
      <c r="S123" s="11"/>
      <c r="T123" s="6"/>
      <c r="U123" s="24" t="str">
        <f>HYPERLINK("https://media.infra-m.ru/2058/2058502/cover/2058502.jpg", "Обложка")</f>
        <v>Обложка</v>
      </c>
      <c r="V123" s="24" t="str">
        <f>HYPERLINK("https://znanium.ru/catalog/product/1064967", "Ознакомиться")</f>
        <v>Ознакомиться</v>
      </c>
      <c r="W123" s="8" t="s">
        <v>864</v>
      </c>
      <c r="X123" s="6"/>
      <c r="Y123" s="6"/>
      <c r="Z123" s="6"/>
      <c r="AA123" s="6" t="s">
        <v>391</v>
      </c>
      <c r="AB123" s="8"/>
    </row>
    <row r="124" spans="1:28" s="4" customFormat="1" ht="42" customHeight="1">
      <c r="A124" s="5">
        <v>0</v>
      </c>
      <c r="B124" s="6" t="s">
        <v>865</v>
      </c>
      <c r="C124" s="7">
        <v>1068</v>
      </c>
      <c r="D124" s="8" t="s">
        <v>866</v>
      </c>
      <c r="E124" s="8" t="s">
        <v>867</v>
      </c>
      <c r="F124" s="8" t="s">
        <v>868</v>
      </c>
      <c r="G124" s="6" t="s">
        <v>38</v>
      </c>
      <c r="H124" s="6" t="s">
        <v>39</v>
      </c>
      <c r="I124" s="8" t="s">
        <v>40</v>
      </c>
      <c r="J124" s="9">
        <v>1</v>
      </c>
      <c r="K124" s="9">
        <v>172</v>
      </c>
      <c r="L124" s="9">
        <v>2026</v>
      </c>
      <c r="M124" s="8" t="s">
        <v>869</v>
      </c>
      <c r="N124" s="8" t="s">
        <v>42</v>
      </c>
      <c r="O124" s="8" t="s">
        <v>89</v>
      </c>
      <c r="P124" s="6" t="s">
        <v>44</v>
      </c>
      <c r="Q124" s="8" t="s">
        <v>45</v>
      </c>
      <c r="R124" s="10" t="s">
        <v>870</v>
      </c>
      <c r="S124" s="11"/>
      <c r="T124" s="6"/>
      <c r="U124" s="24" t="str">
        <f>HYPERLINK("https://media.infra-m.ru/2217/2217959/cover/2217959.jpg", "Обложка")</f>
        <v>Обложка</v>
      </c>
      <c r="V124" s="24" t="str">
        <f>HYPERLINK("https://znanium.ru/catalog/product/2217959", "Ознакомиться")</f>
        <v>Ознакомиться</v>
      </c>
      <c r="W124" s="8" t="s">
        <v>871</v>
      </c>
      <c r="X124" s="6"/>
      <c r="Y124" s="6"/>
      <c r="Z124" s="6"/>
      <c r="AA124" s="6" t="s">
        <v>273</v>
      </c>
      <c r="AB124" s="8"/>
    </row>
    <row r="125" spans="1:28" s="4" customFormat="1" ht="44.1" customHeight="1">
      <c r="A125" s="5">
        <v>0</v>
      </c>
      <c r="B125" s="6" t="s">
        <v>872</v>
      </c>
      <c r="C125" s="7">
        <v>2712</v>
      </c>
      <c r="D125" s="8" t="s">
        <v>873</v>
      </c>
      <c r="E125" s="8" t="s">
        <v>874</v>
      </c>
      <c r="F125" s="8" t="s">
        <v>875</v>
      </c>
      <c r="G125" s="6" t="s">
        <v>96</v>
      </c>
      <c r="H125" s="6" t="s">
        <v>39</v>
      </c>
      <c r="I125" s="8" t="s">
        <v>40</v>
      </c>
      <c r="J125" s="9">
        <v>1</v>
      </c>
      <c r="K125" s="9">
        <v>482</v>
      </c>
      <c r="L125" s="9">
        <v>2024</v>
      </c>
      <c r="M125" s="8" t="s">
        <v>876</v>
      </c>
      <c r="N125" s="8" t="s">
        <v>42</v>
      </c>
      <c r="O125" s="8" t="s">
        <v>72</v>
      </c>
      <c r="P125" s="6" t="s">
        <v>44</v>
      </c>
      <c r="Q125" s="8" t="s">
        <v>45</v>
      </c>
      <c r="R125" s="10" t="s">
        <v>877</v>
      </c>
      <c r="S125" s="11"/>
      <c r="T125" s="6"/>
      <c r="U125" s="24" t="str">
        <f>HYPERLINK("https://media.infra-m.ru/2099/2099001/cover/2099001.jpg", "Обложка")</f>
        <v>Обложка</v>
      </c>
      <c r="V125" s="24" t="str">
        <f>HYPERLINK("https://znanium.ru/catalog/product/2099001", "Ознакомиться")</f>
        <v>Ознакомиться</v>
      </c>
      <c r="W125" s="8" t="s">
        <v>878</v>
      </c>
      <c r="X125" s="6"/>
      <c r="Y125" s="6"/>
      <c r="Z125" s="6"/>
      <c r="AA125" s="6" t="s">
        <v>48</v>
      </c>
      <c r="AB125" s="8"/>
    </row>
    <row r="126" spans="1:28" s="4" customFormat="1" ht="44.1" customHeight="1">
      <c r="A126" s="5">
        <v>0</v>
      </c>
      <c r="B126" s="6" t="s">
        <v>879</v>
      </c>
      <c r="C126" s="13">
        <v>960</v>
      </c>
      <c r="D126" s="8" t="s">
        <v>880</v>
      </c>
      <c r="E126" s="8" t="s">
        <v>881</v>
      </c>
      <c r="F126" s="8" t="s">
        <v>882</v>
      </c>
      <c r="G126" s="6" t="s">
        <v>38</v>
      </c>
      <c r="H126" s="6" t="s">
        <v>39</v>
      </c>
      <c r="I126" s="8" t="s">
        <v>40</v>
      </c>
      <c r="J126" s="9">
        <v>1</v>
      </c>
      <c r="K126" s="9">
        <v>204</v>
      </c>
      <c r="L126" s="9">
        <v>2022</v>
      </c>
      <c r="M126" s="8" t="s">
        <v>883</v>
      </c>
      <c r="N126" s="8" t="s">
        <v>42</v>
      </c>
      <c r="O126" s="8" t="s">
        <v>72</v>
      </c>
      <c r="P126" s="6" t="s">
        <v>44</v>
      </c>
      <c r="Q126" s="8" t="s">
        <v>45</v>
      </c>
      <c r="R126" s="10" t="s">
        <v>884</v>
      </c>
      <c r="S126" s="11"/>
      <c r="T126" s="6"/>
      <c r="U126" s="24" t="str">
        <f>HYPERLINK("https://media.infra-m.ru/1095/1095043/cover/1095043.jpg", "Обложка")</f>
        <v>Обложка</v>
      </c>
      <c r="V126" s="24" t="str">
        <f>HYPERLINK("https://znanium.ru/catalog/product/1095043", "Ознакомиться")</f>
        <v>Ознакомиться</v>
      </c>
      <c r="W126" s="8" t="s">
        <v>885</v>
      </c>
      <c r="X126" s="6"/>
      <c r="Y126" s="6"/>
      <c r="Z126" s="6"/>
      <c r="AA126" s="6" t="s">
        <v>83</v>
      </c>
      <c r="AB126" s="8"/>
    </row>
    <row r="127" spans="1:28" s="4" customFormat="1" ht="51.95" customHeight="1">
      <c r="A127" s="5">
        <v>0</v>
      </c>
      <c r="B127" s="6" t="s">
        <v>886</v>
      </c>
      <c r="C127" s="7">
        <v>2136</v>
      </c>
      <c r="D127" s="8" t="s">
        <v>887</v>
      </c>
      <c r="E127" s="8" t="s">
        <v>888</v>
      </c>
      <c r="F127" s="8" t="s">
        <v>889</v>
      </c>
      <c r="G127" s="6" t="s">
        <v>62</v>
      </c>
      <c r="H127" s="6" t="s">
        <v>39</v>
      </c>
      <c r="I127" s="8" t="s">
        <v>40</v>
      </c>
      <c r="J127" s="9">
        <v>1</v>
      </c>
      <c r="K127" s="9">
        <v>323</v>
      </c>
      <c r="L127" s="9">
        <v>2026</v>
      </c>
      <c r="M127" s="8" t="s">
        <v>890</v>
      </c>
      <c r="N127" s="8" t="s">
        <v>144</v>
      </c>
      <c r="O127" s="8" t="s">
        <v>145</v>
      </c>
      <c r="P127" s="6" t="s">
        <v>44</v>
      </c>
      <c r="Q127" s="8" t="s">
        <v>45</v>
      </c>
      <c r="R127" s="10" t="s">
        <v>891</v>
      </c>
      <c r="S127" s="11"/>
      <c r="T127" s="6"/>
      <c r="U127" s="24" t="str">
        <f>HYPERLINK("https://media.infra-m.ru/2223/2223140/cover/2223140.jpg", "Обложка")</f>
        <v>Обложка</v>
      </c>
      <c r="V127" s="24" t="str">
        <f>HYPERLINK("https://znanium.ru/catalog/product/2223140", "Ознакомиться")</f>
        <v>Ознакомиться</v>
      </c>
      <c r="W127" s="8" t="s">
        <v>892</v>
      </c>
      <c r="X127" s="6"/>
      <c r="Y127" s="6"/>
      <c r="Z127" s="6"/>
      <c r="AA127" s="6" t="s">
        <v>412</v>
      </c>
      <c r="AB127" s="8"/>
    </row>
    <row r="128" spans="1:28" s="4" customFormat="1" ht="51.95" customHeight="1">
      <c r="A128" s="5">
        <v>0</v>
      </c>
      <c r="B128" s="6" t="s">
        <v>893</v>
      </c>
      <c r="C128" s="7">
        <v>1092</v>
      </c>
      <c r="D128" s="8" t="s">
        <v>894</v>
      </c>
      <c r="E128" s="8" t="s">
        <v>895</v>
      </c>
      <c r="F128" s="8" t="s">
        <v>896</v>
      </c>
      <c r="G128" s="6" t="s">
        <v>62</v>
      </c>
      <c r="H128" s="6" t="s">
        <v>39</v>
      </c>
      <c r="I128" s="8" t="s">
        <v>40</v>
      </c>
      <c r="J128" s="9">
        <v>1</v>
      </c>
      <c r="K128" s="9">
        <v>267</v>
      </c>
      <c r="L128" s="9">
        <v>2019</v>
      </c>
      <c r="M128" s="8" t="s">
        <v>897</v>
      </c>
      <c r="N128" s="8" t="s">
        <v>144</v>
      </c>
      <c r="O128" s="8" t="s">
        <v>145</v>
      </c>
      <c r="P128" s="6" t="s">
        <v>44</v>
      </c>
      <c r="Q128" s="8" t="s">
        <v>45</v>
      </c>
      <c r="R128" s="10" t="s">
        <v>891</v>
      </c>
      <c r="S128" s="11"/>
      <c r="T128" s="6"/>
      <c r="U128" s="24" t="str">
        <f>HYPERLINK("https://media.infra-m.ru/1032/1032359/cover/1032359.jpg", "Обложка")</f>
        <v>Обложка</v>
      </c>
      <c r="V128" s="24" t="str">
        <f>HYPERLINK("https://znanium.ru/catalog/product/2223140", "Ознакомиться")</f>
        <v>Ознакомиться</v>
      </c>
      <c r="W128" s="8" t="s">
        <v>892</v>
      </c>
      <c r="X128" s="6"/>
      <c r="Y128" s="6"/>
      <c r="Z128" s="6"/>
      <c r="AA128" s="6" t="s">
        <v>138</v>
      </c>
      <c r="AB128" s="8"/>
    </row>
    <row r="129" spans="1:28" s="4" customFormat="1" ht="42" customHeight="1">
      <c r="A129" s="5">
        <v>0</v>
      </c>
      <c r="B129" s="6" t="s">
        <v>898</v>
      </c>
      <c r="C129" s="13">
        <v>648</v>
      </c>
      <c r="D129" s="8" t="s">
        <v>899</v>
      </c>
      <c r="E129" s="8" t="s">
        <v>900</v>
      </c>
      <c r="F129" s="8" t="s">
        <v>291</v>
      </c>
      <c r="G129" s="6" t="s">
        <v>38</v>
      </c>
      <c r="H129" s="6" t="s">
        <v>39</v>
      </c>
      <c r="I129" s="8" t="s">
        <v>40</v>
      </c>
      <c r="J129" s="9">
        <v>1</v>
      </c>
      <c r="K129" s="9">
        <v>119</v>
      </c>
      <c r="L129" s="9">
        <v>2023</v>
      </c>
      <c r="M129" s="8" t="s">
        <v>901</v>
      </c>
      <c r="N129" s="8" t="s">
        <v>42</v>
      </c>
      <c r="O129" s="8" t="s">
        <v>72</v>
      </c>
      <c r="P129" s="6" t="s">
        <v>44</v>
      </c>
      <c r="Q129" s="8" t="s">
        <v>45</v>
      </c>
      <c r="R129" s="10" t="s">
        <v>902</v>
      </c>
      <c r="S129" s="11"/>
      <c r="T129" s="6"/>
      <c r="U129" s="24" t="str">
        <f>HYPERLINK("https://media.infra-m.ru/1938/1938022/cover/1938022.jpg", "Обложка")</f>
        <v>Обложка</v>
      </c>
      <c r="V129" s="24" t="str">
        <f>HYPERLINK("https://znanium.ru/catalog/product/1938022", "Ознакомиться")</f>
        <v>Ознакомиться</v>
      </c>
      <c r="W129" s="8" t="s">
        <v>293</v>
      </c>
      <c r="X129" s="6"/>
      <c r="Y129" s="6"/>
      <c r="Z129" s="6"/>
      <c r="AA129" s="6" t="s">
        <v>227</v>
      </c>
      <c r="AB129" s="8"/>
    </row>
    <row r="130" spans="1:28" s="4" customFormat="1" ht="51.95" customHeight="1">
      <c r="A130" s="5">
        <v>0</v>
      </c>
      <c r="B130" s="6" t="s">
        <v>903</v>
      </c>
      <c r="C130" s="7">
        <v>1116</v>
      </c>
      <c r="D130" s="8" t="s">
        <v>904</v>
      </c>
      <c r="E130" s="8" t="s">
        <v>905</v>
      </c>
      <c r="F130" s="8" t="s">
        <v>906</v>
      </c>
      <c r="G130" s="6" t="s">
        <v>38</v>
      </c>
      <c r="H130" s="6" t="s">
        <v>39</v>
      </c>
      <c r="I130" s="8" t="s">
        <v>40</v>
      </c>
      <c r="J130" s="9">
        <v>1</v>
      </c>
      <c r="K130" s="9">
        <v>195</v>
      </c>
      <c r="L130" s="9">
        <v>2024</v>
      </c>
      <c r="M130" s="8" t="s">
        <v>907</v>
      </c>
      <c r="N130" s="8" t="s">
        <v>42</v>
      </c>
      <c r="O130" s="8" t="s">
        <v>908</v>
      </c>
      <c r="P130" s="6" t="s">
        <v>44</v>
      </c>
      <c r="Q130" s="8" t="s">
        <v>45</v>
      </c>
      <c r="R130" s="10" t="s">
        <v>909</v>
      </c>
      <c r="S130" s="11"/>
      <c r="T130" s="6"/>
      <c r="U130" s="24" t="str">
        <f>HYPERLINK("https://media.infra-m.ru/2135/2135242/cover/2135242.jpg", "Обложка")</f>
        <v>Обложка</v>
      </c>
      <c r="V130" s="24" t="str">
        <f>HYPERLINK("https://znanium.ru/catalog/product/2135242", "Ознакомиться")</f>
        <v>Ознакомиться</v>
      </c>
      <c r="W130" s="8" t="s">
        <v>910</v>
      </c>
      <c r="X130" s="6"/>
      <c r="Y130" s="6"/>
      <c r="Z130" s="6"/>
      <c r="AA130" s="6" t="s">
        <v>391</v>
      </c>
      <c r="AB130" s="8"/>
    </row>
    <row r="131" spans="1:28" s="4" customFormat="1" ht="42" customHeight="1">
      <c r="A131" s="5">
        <v>0</v>
      </c>
      <c r="B131" s="6" t="s">
        <v>911</v>
      </c>
      <c r="C131" s="13">
        <v>372</v>
      </c>
      <c r="D131" s="8" t="s">
        <v>912</v>
      </c>
      <c r="E131" s="8" t="s">
        <v>913</v>
      </c>
      <c r="F131" s="8" t="s">
        <v>627</v>
      </c>
      <c r="G131" s="6" t="s">
        <v>38</v>
      </c>
      <c r="H131" s="6" t="s">
        <v>39</v>
      </c>
      <c r="I131" s="8" t="s">
        <v>629</v>
      </c>
      <c r="J131" s="9">
        <v>1</v>
      </c>
      <c r="K131" s="9">
        <v>66</v>
      </c>
      <c r="L131" s="9">
        <v>2024</v>
      </c>
      <c r="M131" s="8" t="s">
        <v>914</v>
      </c>
      <c r="N131" s="8" t="s">
        <v>119</v>
      </c>
      <c r="O131" s="8" t="s">
        <v>915</v>
      </c>
      <c r="P131" s="6" t="s">
        <v>916</v>
      </c>
      <c r="Q131" s="8" t="s">
        <v>180</v>
      </c>
      <c r="R131" s="10" t="s">
        <v>917</v>
      </c>
      <c r="S131" s="11"/>
      <c r="T131" s="6"/>
      <c r="U131" s="24" t="str">
        <f>HYPERLINK("https://media.infra-m.ru/2146/2146186/cover/2146186.jpg", "Обложка")</f>
        <v>Обложка</v>
      </c>
      <c r="V131" s="24" t="str">
        <f>HYPERLINK("https://znanium.ru/catalog/product/2146186", "Ознакомиться")</f>
        <v>Ознакомиться</v>
      </c>
      <c r="W131" s="8"/>
      <c r="X131" s="6"/>
      <c r="Y131" s="6"/>
      <c r="Z131" s="6"/>
      <c r="AA131" s="6" t="s">
        <v>918</v>
      </c>
      <c r="AB131" s="8"/>
    </row>
    <row r="132" spans="1:28" s="4" customFormat="1" ht="42" customHeight="1">
      <c r="A132" s="5">
        <v>0</v>
      </c>
      <c r="B132" s="6" t="s">
        <v>919</v>
      </c>
      <c r="C132" s="13">
        <v>256.8</v>
      </c>
      <c r="D132" s="8" t="s">
        <v>920</v>
      </c>
      <c r="E132" s="8" t="s">
        <v>921</v>
      </c>
      <c r="F132" s="8" t="s">
        <v>627</v>
      </c>
      <c r="G132" s="6" t="s">
        <v>38</v>
      </c>
      <c r="H132" s="6" t="s">
        <v>39</v>
      </c>
      <c r="I132" s="8" t="s">
        <v>629</v>
      </c>
      <c r="J132" s="9">
        <v>1</v>
      </c>
      <c r="K132" s="9">
        <v>65</v>
      </c>
      <c r="L132" s="9">
        <v>2024</v>
      </c>
      <c r="M132" s="8" t="s">
        <v>922</v>
      </c>
      <c r="N132" s="8" t="s">
        <v>119</v>
      </c>
      <c r="O132" s="8" t="s">
        <v>915</v>
      </c>
      <c r="P132" s="6" t="s">
        <v>916</v>
      </c>
      <c r="Q132" s="8" t="s">
        <v>180</v>
      </c>
      <c r="R132" s="10" t="s">
        <v>917</v>
      </c>
      <c r="S132" s="11"/>
      <c r="T132" s="6"/>
      <c r="U132" s="24" t="str">
        <f>HYPERLINK("https://media.infra-m.ru/2081/2081084/cover/2081084.jpg", "Обложка")</f>
        <v>Обложка</v>
      </c>
      <c r="V132" s="24" t="str">
        <f>HYPERLINK("https://znanium.ru/catalog/product/2146186", "Ознакомиться")</f>
        <v>Ознакомиться</v>
      </c>
      <c r="W132" s="8"/>
      <c r="X132" s="6"/>
      <c r="Y132" s="6"/>
      <c r="Z132" s="6"/>
      <c r="AA132" s="6" t="s">
        <v>91</v>
      </c>
      <c r="AB132" s="8"/>
    </row>
    <row r="133" spans="1:28" s="4" customFormat="1" ht="44.1" customHeight="1">
      <c r="A133" s="5">
        <v>0</v>
      </c>
      <c r="B133" s="6" t="s">
        <v>923</v>
      </c>
      <c r="C133" s="7">
        <v>1596</v>
      </c>
      <c r="D133" s="8" t="s">
        <v>924</v>
      </c>
      <c r="E133" s="8" t="s">
        <v>925</v>
      </c>
      <c r="F133" s="8" t="s">
        <v>926</v>
      </c>
      <c r="G133" s="6" t="s">
        <v>38</v>
      </c>
      <c r="H133" s="6" t="s">
        <v>39</v>
      </c>
      <c r="I133" s="8" t="s">
        <v>40</v>
      </c>
      <c r="J133" s="9">
        <v>1</v>
      </c>
      <c r="K133" s="9">
        <v>340</v>
      </c>
      <c r="L133" s="9">
        <v>2022</v>
      </c>
      <c r="M133" s="8" t="s">
        <v>927</v>
      </c>
      <c r="N133" s="8" t="s">
        <v>42</v>
      </c>
      <c r="O133" s="8" t="s">
        <v>89</v>
      </c>
      <c r="P133" s="6" t="s">
        <v>44</v>
      </c>
      <c r="Q133" s="8" t="s">
        <v>45</v>
      </c>
      <c r="R133" s="10" t="s">
        <v>928</v>
      </c>
      <c r="S133" s="11"/>
      <c r="T133" s="6"/>
      <c r="U133" s="24" t="str">
        <f>HYPERLINK("https://media.infra-m.ru/1864/1864236/cover/1864236.jpg", "Обложка")</f>
        <v>Обложка</v>
      </c>
      <c r="V133" s="24" t="str">
        <f>HYPERLINK("https://znanium.ru/catalog/product/1864236", "Ознакомиться")</f>
        <v>Ознакомиться</v>
      </c>
      <c r="W133" s="8" t="s">
        <v>929</v>
      </c>
      <c r="X133" s="6"/>
      <c r="Y133" s="6"/>
      <c r="Z133" s="6"/>
      <c r="AA133" s="6" t="s">
        <v>264</v>
      </c>
      <c r="AB133" s="8"/>
    </row>
    <row r="134" spans="1:28" s="4" customFormat="1" ht="51.95" customHeight="1">
      <c r="A134" s="5">
        <v>0</v>
      </c>
      <c r="B134" s="6" t="s">
        <v>930</v>
      </c>
      <c r="C134" s="7">
        <v>1416</v>
      </c>
      <c r="D134" s="8" t="s">
        <v>931</v>
      </c>
      <c r="E134" s="8" t="s">
        <v>932</v>
      </c>
      <c r="F134" s="8" t="s">
        <v>933</v>
      </c>
      <c r="G134" s="6" t="s">
        <v>96</v>
      </c>
      <c r="H134" s="6" t="s">
        <v>39</v>
      </c>
      <c r="I134" s="8" t="s">
        <v>40</v>
      </c>
      <c r="J134" s="9">
        <v>1</v>
      </c>
      <c r="K134" s="9">
        <v>213</v>
      </c>
      <c r="L134" s="9">
        <v>2025</v>
      </c>
      <c r="M134" s="8" t="s">
        <v>934</v>
      </c>
      <c r="N134" s="8" t="s">
        <v>42</v>
      </c>
      <c r="O134" s="8" t="s">
        <v>72</v>
      </c>
      <c r="P134" s="6" t="s">
        <v>44</v>
      </c>
      <c r="Q134" s="8" t="s">
        <v>45</v>
      </c>
      <c r="R134" s="10" t="s">
        <v>935</v>
      </c>
      <c r="S134" s="11"/>
      <c r="T134" s="6"/>
      <c r="U134" s="24" t="str">
        <f>HYPERLINK("https://media.infra-m.ru/2211/2211639/cover/2211639.jpg", "Обложка")</f>
        <v>Обложка</v>
      </c>
      <c r="V134" s="24" t="str">
        <f>HYPERLINK("https://znanium.ru/catalog/product/2211639", "Ознакомиться")</f>
        <v>Ознакомиться</v>
      </c>
      <c r="W134" s="8" t="s">
        <v>936</v>
      </c>
      <c r="X134" s="6" t="s">
        <v>344</v>
      </c>
      <c r="Y134" s="6"/>
      <c r="Z134" s="6"/>
      <c r="AA134" s="6" t="s">
        <v>222</v>
      </c>
      <c r="AB134" s="8"/>
    </row>
    <row r="135" spans="1:28" s="4" customFormat="1" ht="51.95" customHeight="1">
      <c r="A135" s="5">
        <v>0</v>
      </c>
      <c r="B135" s="6" t="s">
        <v>937</v>
      </c>
      <c r="C135" s="13">
        <v>996</v>
      </c>
      <c r="D135" s="8" t="s">
        <v>938</v>
      </c>
      <c r="E135" s="8" t="s">
        <v>939</v>
      </c>
      <c r="F135" s="8" t="s">
        <v>940</v>
      </c>
      <c r="G135" s="6" t="s">
        <v>38</v>
      </c>
      <c r="H135" s="6" t="s">
        <v>39</v>
      </c>
      <c r="I135" s="8" t="s">
        <v>40</v>
      </c>
      <c r="J135" s="9">
        <v>1</v>
      </c>
      <c r="K135" s="9">
        <v>216</v>
      </c>
      <c r="L135" s="9">
        <v>2022</v>
      </c>
      <c r="M135" s="8" t="s">
        <v>941</v>
      </c>
      <c r="N135" s="8" t="s">
        <v>42</v>
      </c>
      <c r="O135" s="8" t="s">
        <v>72</v>
      </c>
      <c r="P135" s="6" t="s">
        <v>44</v>
      </c>
      <c r="Q135" s="8" t="s">
        <v>45</v>
      </c>
      <c r="R135" s="10" t="s">
        <v>942</v>
      </c>
      <c r="S135" s="11"/>
      <c r="T135" s="6"/>
      <c r="U135" s="24" t="str">
        <f>HYPERLINK("https://media.infra-m.ru/1863/1863143/cover/1863143.jpg", "Обложка")</f>
        <v>Обложка</v>
      </c>
      <c r="V135" s="24" t="str">
        <f>HYPERLINK("https://znanium.ru/catalog/product/1863143", "Ознакомиться")</f>
        <v>Ознакомиться</v>
      </c>
      <c r="W135" s="8" t="s">
        <v>760</v>
      </c>
      <c r="X135" s="6"/>
      <c r="Y135" s="6"/>
      <c r="Z135" s="6"/>
      <c r="AA135" s="6" t="s">
        <v>264</v>
      </c>
      <c r="AB135" s="8"/>
    </row>
    <row r="136" spans="1:28" s="4" customFormat="1" ht="51.95" customHeight="1">
      <c r="A136" s="5">
        <v>0</v>
      </c>
      <c r="B136" s="6" t="s">
        <v>943</v>
      </c>
      <c r="C136" s="7">
        <v>1032</v>
      </c>
      <c r="D136" s="8" t="s">
        <v>944</v>
      </c>
      <c r="E136" s="8" t="s">
        <v>945</v>
      </c>
      <c r="F136" s="8" t="s">
        <v>946</v>
      </c>
      <c r="G136" s="6" t="s">
        <v>38</v>
      </c>
      <c r="H136" s="6" t="s">
        <v>39</v>
      </c>
      <c r="I136" s="8" t="s">
        <v>40</v>
      </c>
      <c r="J136" s="9">
        <v>1</v>
      </c>
      <c r="K136" s="9">
        <v>231</v>
      </c>
      <c r="L136" s="9">
        <v>2021</v>
      </c>
      <c r="M136" s="8" t="s">
        <v>947</v>
      </c>
      <c r="N136" s="8" t="s">
        <v>42</v>
      </c>
      <c r="O136" s="8" t="s">
        <v>72</v>
      </c>
      <c r="P136" s="6" t="s">
        <v>44</v>
      </c>
      <c r="Q136" s="8" t="s">
        <v>45</v>
      </c>
      <c r="R136" s="10" t="s">
        <v>73</v>
      </c>
      <c r="S136" s="11"/>
      <c r="T136" s="6" t="s">
        <v>633</v>
      </c>
      <c r="U136" s="24" t="str">
        <f>HYPERLINK("https://media.infra-m.ru/1190/1190688/cover/1190688.jpg", "Обложка")</f>
        <v>Обложка</v>
      </c>
      <c r="V136" s="24" t="str">
        <f>HYPERLINK("https://znanium.ru/catalog/product/1190688", "Ознакомиться")</f>
        <v>Ознакомиться</v>
      </c>
      <c r="W136" s="8" t="s">
        <v>760</v>
      </c>
      <c r="X136" s="6"/>
      <c r="Y136" s="6"/>
      <c r="Z136" s="6"/>
      <c r="AA136" s="6" t="s">
        <v>264</v>
      </c>
      <c r="AB136" s="8"/>
    </row>
    <row r="137" spans="1:28" s="4" customFormat="1" ht="42" customHeight="1">
      <c r="A137" s="5">
        <v>0</v>
      </c>
      <c r="B137" s="6" t="s">
        <v>948</v>
      </c>
      <c r="C137" s="7">
        <v>1368</v>
      </c>
      <c r="D137" s="8" t="s">
        <v>949</v>
      </c>
      <c r="E137" s="8" t="s">
        <v>950</v>
      </c>
      <c r="F137" s="8" t="s">
        <v>134</v>
      </c>
      <c r="G137" s="6" t="s">
        <v>38</v>
      </c>
      <c r="H137" s="6" t="s">
        <v>39</v>
      </c>
      <c r="I137" s="8" t="s">
        <v>40</v>
      </c>
      <c r="J137" s="9">
        <v>1</v>
      </c>
      <c r="K137" s="9">
        <v>207</v>
      </c>
      <c r="L137" s="9">
        <v>2026</v>
      </c>
      <c r="M137" s="8" t="s">
        <v>951</v>
      </c>
      <c r="N137" s="8" t="s">
        <v>42</v>
      </c>
      <c r="O137" s="8" t="s">
        <v>72</v>
      </c>
      <c r="P137" s="6" t="s">
        <v>44</v>
      </c>
      <c r="Q137" s="8" t="s">
        <v>45</v>
      </c>
      <c r="R137" s="10" t="s">
        <v>952</v>
      </c>
      <c r="S137" s="11"/>
      <c r="T137" s="6"/>
      <c r="U137" s="24" t="str">
        <f>HYPERLINK("https://media.infra-m.ru/2213/2213680/cover/2213680.jpg", "Обложка")</f>
        <v>Обложка</v>
      </c>
      <c r="V137" s="24" t="str">
        <f>HYPERLINK("https://znanium.ru/catalog/product/2213680", "Ознакомиться")</f>
        <v>Ознакомиться</v>
      </c>
      <c r="W137" s="8" t="s">
        <v>137</v>
      </c>
      <c r="X137" s="6"/>
      <c r="Y137" s="6"/>
      <c r="Z137" s="6"/>
      <c r="AA137" s="6" t="s">
        <v>57</v>
      </c>
      <c r="AB137" s="8"/>
    </row>
    <row r="138" spans="1:28" s="4" customFormat="1" ht="42" customHeight="1">
      <c r="A138" s="5">
        <v>0</v>
      </c>
      <c r="B138" s="6" t="s">
        <v>953</v>
      </c>
      <c r="C138" s="7">
        <v>1008</v>
      </c>
      <c r="D138" s="8" t="s">
        <v>954</v>
      </c>
      <c r="E138" s="8" t="s">
        <v>955</v>
      </c>
      <c r="F138" s="8" t="s">
        <v>134</v>
      </c>
      <c r="G138" s="6" t="s">
        <v>38</v>
      </c>
      <c r="H138" s="6" t="s">
        <v>39</v>
      </c>
      <c r="I138" s="8" t="s">
        <v>40</v>
      </c>
      <c r="J138" s="9">
        <v>1</v>
      </c>
      <c r="K138" s="9">
        <v>167</v>
      </c>
      <c r="L138" s="9">
        <v>2025</v>
      </c>
      <c r="M138" s="8" t="s">
        <v>956</v>
      </c>
      <c r="N138" s="8" t="s">
        <v>42</v>
      </c>
      <c r="O138" s="8" t="s">
        <v>72</v>
      </c>
      <c r="P138" s="6" t="s">
        <v>44</v>
      </c>
      <c r="Q138" s="8" t="s">
        <v>45</v>
      </c>
      <c r="R138" s="10" t="s">
        <v>957</v>
      </c>
      <c r="S138" s="11"/>
      <c r="T138" s="6"/>
      <c r="U138" s="24" t="str">
        <f>HYPERLINK("https://media.infra-m.ru/2172/2172557/cover/2172557.jpg", "Обложка")</f>
        <v>Обложка</v>
      </c>
      <c r="V138" s="24" t="str">
        <f>HYPERLINK("https://znanium.ru/catalog/product/2172557", "Ознакомиться")</f>
        <v>Ознакомиться</v>
      </c>
      <c r="W138" s="8" t="s">
        <v>137</v>
      </c>
      <c r="X138" s="6"/>
      <c r="Y138" s="6"/>
      <c r="Z138" s="6"/>
      <c r="AA138" s="6" t="s">
        <v>129</v>
      </c>
      <c r="AB138" s="8"/>
    </row>
    <row r="139" spans="1:28" s="4" customFormat="1" ht="51.95" customHeight="1">
      <c r="A139" s="5">
        <v>0</v>
      </c>
      <c r="B139" s="6" t="s">
        <v>958</v>
      </c>
      <c r="C139" s="7">
        <v>2820</v>
      </c>
      <c r="D139" s="8" t="s">
        <v>959</v>
      </c>
      <c r="E139" s="8" t="s">
        <v>960</v>
      </c>
      <c r="F139" s="8" t="s">
        <v>961</v>
      </c>
      <c r="G139" s="6" t="s">
        <v>96</v>
      </c>
      <c r="H139" s="6" t="s">
        <v>39</v>
      </c>
      <c r="I139" s="8"/>
      <c r="J139" s="9">
        <v>1</v>
      </c>
      <c r="K139" s="9">
        <v>650</v>
      </c>
      <c r="L139" s="9">
        <v>2024</v>
      </c>
      <c r="M139" s="8" t="s">
        <v>962</v>
      </c>
      <c r="N139" s="8" t="s">
        <v>119</v>
      </c>
      <c r="O139" s="8" t="s">
        <v>120</v>
      </c>
      <c r="P139" s="6" t="s">
        <v>169</v>
      </c>
      <c r="Q139" s="8" t="s">
        <v>45</v>
      </c>
      <c r="R139" s="10" t="s">
        <v>963</v>
      </c>
      <c r="S139" s="11"/>
      <c r="T139" s="6"/>
      <c r="U139" s="24" t="str">
        <f>HYPERLINK("https://media.infra-m.ru/2104/2104295/cover/2104295.jpg", "Обложка")</f>
        <v>Обложка</v>
      </c>
      <c r="V139" s="24" t="str">
        <f>HYPERLINK("https://znanium.ru/catalog/product/2104295", "Ознакомиться")</f>
        <v>Ознакомиться</v>
      </c>
      <c r="W139" s="8" t="s">
        <v>202</v>
      </c>
      <c r="X139" s="6"/>
      <c r="Y139" s="6"/>
      <c r="Z139" s="6"/>
      <c r="AA139" s="6" t="s">
        <v>242</v>
      </c>
      <c r="AB139" s="8"/>
    </row>
    <row r="140" spans="1:28" s="4" customFormat="1" ht="42" customHeight="1">
      <c r="A140" s="5">
        <v>0</v>
      </c>
      <c r="B140" s="6" t="s">
        <v>964</v>
      </c>
      <c r="C140" s="13">
        <v>868.8</v>
      </c>
      <c r="D140" s="8" t="s">
        <v>965</v>
      </c>
      <c r="E140" s="8" t="s">
        <v>966</v>
      </c>
      <c r="F140" s="8" t="s">
        <v>967</v>
      </c>
      <c r="G140" s="6" t="s">
        <v>38</v>
      </c>
      <c r="H140" s="6" t="s">
        <v>188</v>
      </c>
      <c r="I140" s="8"/>
      <c r="J140" s="9">
        <v>1</v>
      </c>
      <c r="K140" s="9">
        <v>144</v>
      </c>
      <c r="L140" s="9">
        <v>2025</v>
      </c>
      <c r="M140" s="8" t="s">
        <v>968</v>
      </c>
      <c r="N140" s="8" t="s">
        <v>42</v>
      </c>
      <c r="O140" s="8" t="s">
        <v>89</v>
      </c>
      <c r="P140" s="6" t="s">
        <v>44</v>
      </c>
      <c r="Q140" s="8" t="s">
        <v>45</v>
      </c>
      <c r="R140" s="10" t="s">
        <v>969</v>
      </c>
      <c r="S140" s="11"/>
      <c r="T140" s="6"/>
      <c r="U140" s="24" t="str">
        <f>HYPERLINK("https://media.infra-m.ru/2166/2166544/cover/2166544.jpg", "Обложка")</f>
        <v>Обложка</v>
      </c>
      <c r="V140" s="12"/>
      <c r="W140" s="8" t="s">
        <v>241</v>
      </c>
      <c r="X140" s="6"/>
      <c r="Y140" s="6"/>
      <c r="Z140" s="6"/>
      <c r="AA140" s="6" t="s">
        <v>470</v>
      </c>
      <c r="AB140" s="8"/>
    </row>
    <row r="141" spans="1:28" s="4" customFormat="1" ht="44.1" customHeight="1">
      <c r="A141" s="5">
        <v>0</v>
      </c>
      <c r="B141" s="6" t="s">
        <v>970</v>
      </c>
      <c r="C141" s="13">
        <v>400.8</v>
      </c>
      <c r="D141" s="8" t="s">
        <v>971</v>
      </c>
      <c r="E141" s="8" t="s">
        <v>972</v>
      </c>
      <c r="F141" s="8" t="s">
        <v>973</v>
      </c>
      <c r="G141" s="6" t="s">
        <v>38</v>
      </c>
      <c r="H141" s="6" t="s">
        <v>188</v>
      </c>
      <c r="I141" s="8"/>
      <c r="J141" s="9">
        <v>1</v>
      </c>
      <c r="K141" s="9">
        <v>64</v>
      </c>
      <c r="L141" s="9">
        <v>2026</v>
      </c>
      <c r="M141" s="8" t="s">
        <v>974</v>
      </c>
      <c r="N141" s="8" t="s">
        <v>42</v>
      </c>
      <c r="O141" s="8" t="s">
        <v>89</v>
      </c>
      <c r="P141" s="6" t="s">
        <v>44</v>
      </c>
      <c r="Q141" s="8" t="s">
        <v>45</v>
      </c>
      <c r="R141" s="10" t="s">
        <v>975</v>
      </c>
      <c r="S141" s="11"/>
      <c r="T141" s="6"/>
      <c r="U141" s="24" t="str">
        <f>HYPERLINK("https://media.infra-m.ru/2217/2217603/cover/2217603.jpg", "Обложка")</f>
        <v>Обложка</v>
      </c>
      <c r="V141" s="24" t="str">
        <f>HYPERLINK("https://znanium.ru/catalog/product/537827", "Ознакомиться")</f>
        <v>Ознакомиться</v>
      </c>
      <c r="W141" s="8" t="s">
        <v>976</v>
      </c>
      <c r="X141" s="6"/>
      <c r="Y141" s="6"/>
      <c r="Z141" s="6"/>
      <c r="AA141" s="6" t="s">
        <v>977</v>
      </c>
      <c r="AB141" s="8"/>
    </row>
    <row r="142" spans="1:28" s="4" customFormat="1" ht="51.95" customHeight="1">
      <c r="A142" s="5">
        <v>0</v>
      </c>
      <c r="B142" s="6" t="s">
        <v>978</v>
      </c>
      <c r="C142" s="13">
        <v>864</v>
      </c>
      <c r="D142" s="8" t="s">
        <v>979</v>
      </c>
      <c r="E142" s="8" t="s">
        <v>980</v>
      </c>
      <c r="F142" s="8" t="s">
        <v>981</v>
      </c>
      <c r="G142" s="6" t="s">
        <v>38</v>
      </c>
      <c r="H142" s="6" t="s">
        <v>39</v>
      </c>
      <c r="I142" s="8" t="s">
        <v>982</v>
      </c>
      <c r="J142" s="9">
        <v>1</v>
      </c>
      <c r="K142" s="9">
        <v>205</v>
      </c>
      <c r="L142" s="9">
        <v>2020</v>
      </c>
      <c r="M142" s="8" t="s">
        <v>983</v>
      </c>
      <c r="N142" s="8" t="s">
        <v>42</v>
      </c>
      <c r="O142" s="8" t="s">
        <v>43</v>
      </c>
      <c r="P142" s="6" t="s">
        <v>44</v>
      </c>
      <c r="Q142" s="8" t="s">
        <v>45</v>
      </c>
      <c r="R142" s="10" t="s">
        <v>984</v>
      </c>
      <c r="S142" s="11"/>
      <c r="T142" s="6"/>
      <c r="U142" s="24" t="str">
        <f>HYPERLINK("https://media.infra-m.ru/1077/1077732/cover/1077732.jpg", "Обложка")</f>
        <v>Обложка</v>
      </c>
      <c r="V142" s="24" t="str">
        <f>HYPERLINK("https://znanium.ru/catalog/product/1077732", "Ознакомиться")</f>
        <v>Ознакомиться</v>
      </c>
      <c r="W142" s="8" t="s">
        <v>147</v>
      </c>
      <c r="X142" s="6"/>
      <c r="Y142" s="6"/>
      <c r="Z142" s="6"/>
      <c r="AA142" s="6" t="s">
        <v>391</v>
      </c>
      <c r="AB142" s="8"/>
    </row>
    <row r="143" spans="1:28" s="4" customFormat="1" ht="51.95" customHeight="1">
      <c r="A143" s="5">
        <v>0</v>
      </c>
      <c r="B143" s="6" t="s">
        <v>985</v>
      </c>
      <c r="C143" s="13">
        <v>976.8</v>
      </c>
      <c r="D143" s="8" t="s">
        <v>986</v>
      </c>
      <c r="E143" s="8" t="s">
        <v>987</v>
      </c>
      <c r="F143" s="8" t="s">
        <v>291</v>
      </c>
      <c r="G143" s="6" t="s">
        <v>38</v>
      </c>
      <c r="H143" s="6" t="s">
        <v>39</v>
      </c>
      <c r="I143" s="8" t="s">
        <v>40</v>
      </c>
      <c r="J143" s="9">
        <v>1</v>
      </c>
      <c r="K143" s="9">
        <v>157</v>
      </c>
      <c r="L143" s="9">
        <v>2025</v>
      </c>
      <c r="M143" s="8" t="s">
        <v>988</v>
      </c>
      <c r="N143" s="8" t="s">
        <v>42</v>
      </c>
      <c r="O143" s="8" t="s">
        <v>72</v>
      </c>
      <c r="P143" s="6" t="s">
        <v>44</v>
      </c>
      <c r="Q143" s="8" t="s">
        <v>45</v>
      </c>
      <c r="R143" s="10" t="s">
        <v>73</v>
      </c>
      <c r="S143" s="11"/>
      <c r="T143" s="6"/>
      <c r="U143" s="24" t="str">
        <f>HYPERLINK("https://media.infra-m.ru/2208/2208452/cover/2208452.jpg", "Обложка")</f>
        <v>Обложка</v>
      </c>
      <c r="V143" s="24" t="str">
        <f>HYPERLINK("https://znanium.ru/catalog/product/2030867", "Ознакомиться")</f>
        <v>Ознакомиться</v>
      </c>
      <c r="W143" s="8" t="s">
        <v>293</v>
      </c>
      <c r="X143" s="6"/>
      <c r="Y143" s="6"/>
      <c r="Z143" s="6"/>
      <c r="AA143" s="6" t="s">
        <v>57</v>
      </c>
      <c r="AB143" s="8"/>
    </row>
    <row r="144" spans="1:28" s="4" customFormat="1" ht="44.1" customHeight="1">
      <c r="A144" s="5">
        <v>0</v>
      </c>
      <c r="B144" s="6" t="s">
        <v>989</v>
      </c>
      <c r="C144" s="7">
        <v>1308</v>
      </c>
      <c r="D144" s="8" t="s">
        <v>990</v>
      </c>
      <c r="E144" s="8" t="s">
        <v>991</v>
      </c>
      <c r="F144" s="8" t="s">
        <v>992</v>
      </c>
      <c r="G144" s="6" t="s">
        <v>38</v>
      </c>
      <c r="H144" s="6" t="s">
        <v>39</v>
      </c>
      <c r="I144" s="8" t="s">
        <v>40</v>
      </c>
      <c r="J144" s="9">
        <v>1</v>
      </c>
      <c r="K144" s="9">
        <v>218</v>
      </c>
      <c r="L144" s="9">
        <v>2025</v>
      </c>
      <c r="M144" s="8" t="s">
        <v>993</v>
      </c>
      <c r="N144" s="8" t="s">
        <v>42</v>
      </c>
      <c r="O144" s="8" t="s">
        <v>89</v>
      </c>
      <c r="P144" s="6" t="s">
        <v>44</v>
      </c>
      <c r="Q144" s="8" t="s">
        <v>45</v>
      </c>
      <c r="R144" s="10" t="s">
        <v>994</v>
      </c>
      <c r="S144" s="11"/>
      <c r="T144" s="6"/>
      <c r="U144" s="24" t="str">
        <f>HYPERLINK("https://media.infra-m.ru/2173/2173483/cover/2173483.jpg", "Обложка")</f>
        <v>Обложка</v>
      </c>
      <c r="V144" s="24" t="str">
        <f>HYPERLINK("https://znanium.ru/catalog/product/2173483", "Ознакомиться")</f>
        <v>Ознакомиться</v>
      </c>
      <c r="W144" s="8" t="s">
        <v>995</v>
      </c>
      <c r="X144" s="6"/>
      <c r="Y144" s="6"/>
      <c r="Z144" s="6"/>
      <c r="AA144" s="6" t="s">
        <v>91</v>
      </c>
      <c r="AB144" s="8"/>
    </row>
    <row r="145" spans="1:28" s="4" customFormat="1" ht="42" customHeight="1">
      <c r="A145" s="5">
        <v>0</v>
      </c>
      <c r="B145" s="6" t="s">
        <v>996</v>
      </c>
      <c r="C145" s="7">
        <v>3115.2</v>
      </c>
      <c r="D145" s="8" t="s">
        <v>997</v>
      </c>
      <c r="E145" s="8" t="s">
        <v>998</v>
      </c>
      <c r="F145" s="8"/>
      <c r="G145" s="6" t="s">
        <v>38</v>
      </c>
      <c r="H145" s="6" t="s">
        <v>167</v>
      </c>
      <c r="I145" s="8"/>
      <c r="J145" s="9">
        <v>1</v>
      </c>
      <c r="K145" s="9">
        <v>150</v>
      </c>
      <c r="L145" s="9">
        <v>2024</v>
      </c>
      <c r="M145" s="8"/>
      <c r="N145" s="8" t="s">
        <v>119</v>
      </c>
      <c r="O145" s="8" t="s">
        <v>120</v>
      </c>
      <c r="P145" s="6" t="s">
        <v>121</v>
      </c>
      <c r="Q145" s="8"/>
      <c r="R145" s="10"/>
      <c r="S145" s="11"/>
      <c r="T145" s="6"/>
      <c r="U145" s="24" t="str">
        <f>HYPERLINK("https://media.infra-m.ru/2134/2134473/cover/2134473.jpg", "Обложка")</f>
        <v>Обложка</v>
      </c>
      <c r="V145" s="24" t="str">
        <f>HYPERLINK("https://znanium.ru/catalog/product/2184275", "Ознакомиться")</f>
        <v>Ознакомиться</v>
      </c>
      <c r="W145" s="8"/>
      <c r="X145" s="6"/>
      <c r="Y145" s="6"/>
      <c r="Z145" s="6"/>
      <c r="AA145" s="6" t="s">
        <v>273</v>
      </c>
      <c r="AB145" s="8"/>
    </row>
    <row r="146" spans="1:28" s="4" customFormat="1" ht="42" customHeight="1">
      <c r="A146" s="5">
        <v>0</v>
      </c>
      <c r="B146" s="6" t="s">
        <v>999</v>
      </c>
      <c r="C146" s="7">
        <v>3115.2</v>
      </c>
      <c r="D146" s="8" t="s">
        <v>1000</v>
      </c>
      <c r="E146" s="8" t="s">
        <v>1001</v>
      </c>
      <c r="F146" s="8"/>
      <c r="G146" s="6" t="s">
        <v>38</v>
      </c>
      <c r="H146" s="6" t="s">
        <v>167</v>
      </c>
      <c r="I146" s="8"/>
      <c r="J146" s="9">
        <v>1</v>
      </c>
      <c r="K146" s="9">
        <v>142</v>
      </c>
      <c r="L146" s="9">
        <v>2025</v>
      </c>
      <c r="M146" s="8"/>
      <c r="N146" s="8" t="s">
        <v>119</v>
      </c>
      <c r="O146" s="8" t="s">
        <v>120</v>
      </c>
      <c r="P146" s="6" t="s">
        <v>121</v>
      </c>
      <c r="Q146" s="8"/>
      <c r="R146" s="10"/>
      <c r="S146" s="11"/>
      <c r="T146" s="6"/>
      <c r="U146" s="24" t="str">
        <f>HYPERLINK("https://media.infra-m.ru/2184/2184312/cover/2184312.jpg", "Обложка")</f>
        <v>Обложка</v>
      </c>
      <c r="V146" s="24" t="str">
        <f>HYPERLINK("https://znanium.ru/catalog/product/2184275", "Ознакомиться")</f>
        <v>Ознакомиться</v>
      </c>
      <c r="W146" s="8"/>
      <c r="X146" s="6" t="s">
        <v>436</v>
      </c>
      <c r="Y146" s="6"/>
      <c r="Z146" s="6"/>
      <c r="AA146" s="6" t="s">
        <v>48</v>
      </c>
      <c r="AB146" s="8"/>
    </row>
    <row r="147" spans="1:28" s="4" customFormat="1" ht="42" customHeight="1">
      <c r="A147" s="5">
        <v>0</v>
      </c>
      <c r="B147" s="6" t="s">
        <v>1002</v>
      </c>
      <c r="C147" s="7">
        <v>2046</v>
      </c>
      <c r="D147" s="8" t="s">
        <v>1003</v>
      </c>
      <c r="E147" s="8" t="s">
        <v>1004</v>
      </c>
      <c r="F147" s="8"/>
      <c r="G147" s="6" t="s">
        <v>38</v>
      </c>
      <c r="H147" s="6" t="s">
        <v>167</v>
      </c>
      <c r="I147" s="8"/>
      <c r="J147" s="9">
        <v>1</v>
      </c>
      <c r="K147" s="9">
        <v>180</v>
      </c>
      <c r="L147" s="9">
        <v>2024</v>
      </c>
      <c r="M147" s="8"/>
      <c r="N147" s="8" t="s">
        <v>119</v>
      </c>
      <c r="O147" s="8" t="s">
        <v>120</v>
      </c>
      <c r="P147" s="6" t="s">
        <v>121</v>
      </c>
      <c r="Q147" s="8"/>
      <c r="R147" s="10"/>
      <c r="S147" s="11"/>
      <c r="T147" s="6"/>
      <c r="U147" s="24" t="str">
        <f>HYPERLINK("https://media.infra-m.ru/2134/2134463/cover/2134463.jpg", "Обложка")</f>
        <v>Обложка</v>
      </c>
      <c r="V147" s="24" t="str">
        <f>HYPERLINK("https://znanium.ru/catalog/product/2184323", "Ознакомиться")</f>
        <v>Ознакомиться</v>
      </c>
      <c r="W147" s="8"/>
      <c r="X147" s="6"/>
      <c r="Y147" s="6"/>
      <c r="Z147" s="6"/>
      <c r="AA147" s="6" t="s">
        <v>183</v>
      </c>
      <c r="AB147" s="8"/>
    </row>
    <row r="148" spans="1:28" s="4" customFormat="1" ht="42" customHeight="1">
      <c r="A148" s="5">
        <v>0</v>
      </c>
      <c r="B148" s="6" t="s">
        <v>1005</v>
      </c>
      <c r="C148" s="7">
        <v>2046</v>
      </c>
      <c r="D148" s="8" t="s">
        <v>1006</v>
      </c>
      <c r="E148" s="8" t="s">
        <v>1007</v>
      </c>
      <c r="F148" s="8"/>
      <c r="G148" s="6" t="s">
        <v>38</v>
      </c>
      <c r="H148" s="6" t="s">
        <v>167</v>
      </c>
      <c r="I148" s="8"/>
      <c r="J148" s="9">
        <v>1</v>
      </c>
      <c r="K148" s="9">
        <v>196</v>
      </c>
      <c r="L148" s="9">
        <v>2025</v>
      </c>
      <c r="M148" s="8"/>
      <c r="N148" s="8" t="s">
        <v>119</v>
      </c>
      <c r="O148" s="8" t="s">
        <v>120</v>
      </c>
      <c r="P148" s="6" t="s">
        <v>121</v>
      </c>
      <c r="Q148" s="8"/>
      <c r="R148" s="10"/>
      <c r="S148" s="11"/>
      <c r="T148" s="6"/>
      <c r="U148" s="24" t="str">
        <f>HYPERLINK("https://media.infra-m.ru/2184/2184323/cover/2184323.jpg", "Обложка")</f>
        <v>Обложка</v>
      </c>
      <c r="V148" s="24" t="str">
        <f>HYPERLINK("https://znanium.ru/catalog/product/2184323", "Ознакомиться")</f>
        <v>Ознакомиться</v>
      </c>
      <c r="W148" s="8"/>
      <c r="X148" s="6" t="s">
        <v>1008</v>
      </c>
      <c r="Y148" s="6"/>
      <c r="Z148" s="6"/>
      <c r="AA148" s="6" t="s">
        <v>1009</v>
      </c>
      <c r="AB148" s="8"/>
    </row>
    <row r="149" spans="1:28" s="4" customFormat="1" ht="51.95" customHeight="1">
      <c r="A149" s="5">
        <v>0</v>
      </c>
      <c r="B149" s="6" t="s">
        <v>1010</v>
      </c>
      <c r="C149" s="7">
        <v>1068</v>
      </c>
      <c r="D149" s="8" t="s">
        <v>1011</v>
      </c>
      <c r="E149" s="8" t="s">
        <v>1012</v>
      </c>
      <c r="F149" s="8" t="s">
        <v>1013</v>
      </c>
      <c r="G149" s="6" t="s">
        <v>38</v>
      </c>
      <c r="H149" s="6" t="s">
        <v>39</v>
      </c>
      <c r="I149" s="8" t="s">
        <v>40</v>
      </c>
      <c r="J149" s="9">
        <v>1</v>
      </c>
      <c r="K149" s="9">
        <v>161</v>
      </c>
      <c r="L149" s="9">
        <v>2025</v>
      </c>
      <c r="M149" s="8" t="s">
        <v>1014</v>
      </c>
      <c r="N149" s="8" t="s">
        <v>144</v>
      </c>
      <c r="O149" s="8" t="s">
        <v>145</v>
      </c>
      <c r="P149" s="6" t="s">
        <v>44</v>
      </c>
      <c r="Q149" s="8" t="s">
        <v>45</v>
      </c>
      <c r="R149" s="10" t="s">
        <v>1015</v>
      </c>
      <c r="S149" s="11"/>
      <c r="T149" s="6"/>
      <c r="U149" s="24" t="str">
        <f>HYPERLINK("https://media.infra-m.ru/2203/2203351/cover/2203351.jpg", "Обложка")</f>
        <v>Обложка</v>
      </c>
      <c r="V149" s="24" t="str">
        <f>HYPERLINK("https://znanium.ru/catalog/product/2203351", "Ознакомиться")</f>
        <v>Ознакомиться</v>
      </c>
      <c r="W149" s="8" t="s">
        <v>936</v>
      </c>
      <c r="X149" s="6" t="s">
        <v>359</v>
      </c>
      <c r="Y149" s="6"/>
      <c r="Z149" s="6"/>
      <c r="AA149" s="6" t="s">
        <v>360</v>
      </c>
      <c r="AB149" s="8"/>
    </row>
    <row r="150" spans="1:28" s="4" customFormat="1" ht="42" customHeight="1">
      <c r="A150" s="5">
        <v>0</v>
      </c>
      <c r="B150" s="6" t="s">
        <v>1016</v>
      </c>
      <c r="C150" s="13">
        <v>900</v>
      </c>
      <c r="D150" s="8" t="s">
        <v>1017</v>
      </c>
      <c r="E150" s="8" t="s">
        <v>1018</v>
      </c>
      <c r="F150" s="8" t="s">
        <v>1019</v>
      </c>
      <c r="G150" s="6" t="s">
        <v>62</v>
      </c>
      <c r="H150" s="6" t="s">
        <v>39</v>
      </c>
      <c r="I150" s="8" t="s">
        <v>40</v>
      </c>
      <c r="J150" s="9">
        <v>1</v>
      </c>
      <c r="K150" s="9">
        <v>193</v>
      </c>
      <c r="L150" s="9">
        <v>2022</v>
      </c>
      <c r="M150" s="8" t="s">
        <v>1020</v>
      </c>
      <c r="N150" s="8" t="s">
        <v>144</v>
      </c>
      <c r="O150" s="8" t="s">
        <v>145</v>
      </c>
      <c r="P150" s="6" t="s">
        <v>44</v>
      </c>
      <c r="Q150" s="8" t="s">
        <v>45</v>
      </c>
      <c r="R150" s="10" t="s">
        <v>1021</v>
      </c>
      <c r="S150" s="11"/>
      <c r="T150" s="6"/>
      <c r="U150" s="24" t="str">
        <f>HYPERLINK("https://media.infra-m.ru/1854/1854751/cover/1854751.jpg", "Обложка")</f>
        <v>Обложка</v>
      </c>
      <c r="V150" s="24" t="str">
        <f>HYPERLINK("https://znanium.ru/catalog/product/1854751", "Ознакомиться")</f>
        <v>Ознакомиться</v>
      </c>
      <c r="W150" s="8" t="s">
        <v>1022</v>
      </c>
      <c r="X150" s="6"/>
      <c r="Y150" s="6"/>
      <c r="Z150" s="6"/>
      <c r="AA150" s="6" t="s">
        <v>227</v>
      </c>
      <c r="AB150" s="8"/>
    </row>
    <row r="151" spans="1:28" s="4" customFormat="1" ht="42" customHeight="1">
      <c r="A151" s="5">
        <v>0</v>
      </c>
      <c r="B151" s="6" t="s">
        <v>1023</v>
      </c>
      <c r="C151" s="7">
        <v>1428</v>
      </c>
      <c r="D151" s="8" t="s">
        <v>1024</v>
      </c>
      <c r="E151" s="8" t="s">
        <v>1025</v>
      </c>
      <c r="F151" s="8" t="s">
        <v>291</v>
      </c>
      <c r="G151" s="6" t="s">
        <v>96</v>
      </c>
      <c r="H151" s="6" t="s">
        <v>39</v>
      </c>
      <c r="I151" s="8" t="s">
        <v>40</v>
      </c>
      <c r="J151" s="9">
        <v>1</v>
      </c>
      <c r="K151" s="9">
        <v>263</v>
      </c>
      <c r="L151" s="9">
        <v>2023</v>
      </c>
      <c r="M151" s="8" t="s">
        <v>1026</v>
      </c>
      <c r="N151" s="8" t="s">
        <v>42</v>
      </c>
      <c r="O151" s="8" t="s">
        <v>72</v>
      </c>
      <c r="P151" s="6" t="s">
        <v>44</v>
      </c>
      <c r="Q151" s="8" t="s">
        <v>45</v>
      </c>
      <c r="R151" s="10" t="s">
        <v>1027</v>
      </c>
      <c r="S151" s="11"/>
      <c r="T151" s="6"/>
      <c r="U151" s="24" t="str">
        <f>HYPERLINK("https://media.infra-m.ru/1898/1898396/cover/1898396.jpg", "Обложка")</f>
        <v>Обложка</v>
      </c>
      <c r="V151" s="24" t="str">
        <f>HYPERLINK("https://znanium.ru/catalog/product/1898396", "Ознакомиться")</f>
        <v>Ознакомиться</v>
      </c>
      <c r="W151" s="8" t="s">
        <v>293</v>
      </c>
      <c r="X151" s="6"/>
      <c r="Y151" s="6"/>
      <c r="Z151" s="6"/>
      <c r="AA151" s="6" t="s">
        <v>91</v>
      </c>
      <c r="AB151" s="8" t="s">
        <v>1028</v>
      </c>
    </row>
    <row r="152" spans="1:28" s="4" customFormat="1" ht="42" customHeight="1">
      <c r="A152" s="5">
        <v>0</v>
      </c>
      <c r="B152" s="6" t="s">
        <v>1029</v>
      </c>
      <c r="C152" s="13">
        <v>552</v>
      </c>
      <c r="D152" s="8" t="s">
        <v>1030</v>
      </c>
      <c r="E152" s="8" t="s">
        <v>1031</v>
      </c>
      <c r="F152" s="8" t="s">
        <v>1032</v>
      </c>
      <c r="G152" s="6" t="s">
        <v>38</v>
      </c>
      <c r="H152" s="6" t="s">
        <v>39</v>
      </c>
      <c r="I152" s="8" t="s">
        <v>1033</v>
      </c>
      <c r="J152" s="9">
        <v>1</v>
      </c>
      <c r="K152" s="9">
        <v>110</v>
      </c>
      <c r="L152" s="9">
        <v>2023</v>
      </c>
      <c r="M152" s="8" t="s">
        <v>1034</v>
      </c>
      <c r="N152" s="8" t="s">
        <v>119</v>
      </c>
      <c r="O152" s="8" t="s">
        <v>120</v>
      </c>
      <c r="P152" s="6" t="s">
        <v>248</v>
      </c>
      <c r="Q152" s="8" t="s">
        <v>45</v>
      </c>
      <c r="R152" s="10" t="s">
        <v>1035</v>
      </c>
      <c r="S152" s="11"/>
      <c r="T152" s="6"/>
      <c r="U152" s="24" t="str">
        <f>HYPERLINK("https://media.infra-m.ru/1870/1870569/cover/1870569.jpg", "Обложка")</f>
        <v>Обложка</v>
      </c>
      <c r="V152" s="24" t="str">
        <f>HYPERLINK("https://znanium.ru/catalog/product/1870569", "Ознакомиться")</f>
        <v>Ознакомиться</v>
      </c>
      <c r="W152" s="8" t="s">
        <v>1036</v>
      </c>
      <c r="X152" s="6"/>
      <c r="Y152" s="6"/>
      <c r="Z152" s="6"/>
      <c r="AA152" s="6" t="s">
        <v>840</v>
      </c>
      <c r="AB152" s="8"/>
    </row>
    <row r="153" spans="1:28" s="4" customFormat="1" ht="51.95" customHeight="1">
      <c r="A153" s="5">
        <v>0</v>
      </c>
      <c r="B153" s="6" t="s">
        <v>1037</v>
      </c>
      <c r="C153" s="7">
        <v>1200</v>
      </c>
      <c r="D153" s="8" t="s">
        <v>1038</v>
      </c>
      <c r="E153" s="8" t="s">
        <v>1039</v>
      </c>
      <c r="F153" s="8" t="s">
        <v>1040</v>
      </c>
      <c r="G153" s="6" t="s">
        <v>96</v>
      </c>
      <c r="H153" s="6" t="s">
        <v>39</v>
      </c>
      <c r="I153" s="8" t="s">
        <v>340</v>
      </c>
      <c r="J153" s="9">
        <v>1</v>
      </c>
      <c r="K153" s="9">
        <v>198</v>
      </c>
      <c r="L153" s="9">
        <v>2025</v>
      </c>
      <c r="M153" s="8" t="s">
        <v>1041</v>
      </c>
      <c r="N153" s="8" t="s">
        <v>42</v>
      </c>
      <c r="O153" s="8" t="s">
        <v>43</v>
      </c>
      <c r="P153" s="6" t="s">
        <v>271</v>
      </c>
      <c r="Q153" s="8" t="s">
        <v>180</v>
      </c>
      <c r="R153" s="10" t="s">
        <v>1042</v>
      </c>
      <c r="S153" s="11"/>
      <c r="T153" s="6"/>
      <c r="U153" s="24" t="str">
        <f>HYPERLINK("https://media.infra-m.ru/1893/1893882/cover/1893882.jpg", "Обложка")</f>
        <v>Обложка</v>
      </c>
      <c r="V153" s="24" t="str">
        <f>HYPERLINK("https://znanium.ru/catalog/product/1893882", "Ознакомиться")</f>
        <v>Ознакомиться</v>
      </c>
      <c r="W153" s="8" t="s">
        <v>1043</v>
      </c>
      <c r="X153" s="6" t="s">
        <v>1044</v>
      </c>
      <c r="Y153" s="6"/>
      <c r="Z153" s="6"/>
      <c r="AA153" s="6" t="s">
        <v>360</v>
      </c>
      <c r="AB153" s="8"/>
    </row>
    <row r="154" spans="1:28" s="4" customFormat="1" ht="51.95" customHeight="1">
      <c r="A154" s="5">
        <v>0</v>
      </c>
      <c r="B154" s="6" t="s">
        <v>1045</v>
      </c>
      <c r="C154" s="7">
        <v>1744.8</v>
      </c>
      <c r="D154" s="8" t="s">
        <v>1046</v>
      </c>
      <c r="E154" s="8" t="s">
        <v>1047</v>
      </c>
      <c r="F154" s="8" t="s">
        <v>1048</v>
      </c>
      <c r="G154" s="6" t="s">
        <v>96</v>
      </c>
      <c r="H154" s="6" t="s">
        <v>167</v>
      </c>
      <c r="I154" s="8"/>
      <c r="J154" s="9">
        <v>1</v>
      </c>
      <c r="K154" s="9">
        <v>280</v>
      </c>
      <c r="L154" s="9">
        <v>2026</v>
      </c>
      <c r="M154" s="8" t="s">
        <v>1049</v>
      </c>
      <c r="N154" s="8" t="s">
        <v>119</v>
      </c>
      <c r="O154" s="8" t="s">
        <v>120</v>
      </c>
      <c r="P154" s="6" t="s">
        <v>248</v>
      </c>
      <c r="Q154" s="8" t="s">
        <v>45</v>
      </c>
      <c r="R154" s="10" t="s">
        <v>1050</v>
      </c>
      <c r="S154" s="11"/>
      <c r="T154" s="6"/>
      <c r="U154" s="24" t="str">
        <f>HYPERLINK("https://media.infra-m.ru/2216/2216178/cover/2216178.jpg", "Обложка")</f>
        <v>Обложка</v>
      </c>
      <c r="V154" s="24" t="str">
        <f>HYPERLINK("https://znanium.ru/catalog/product/2215886", "Ознакомиться")</f>
        <v>Ознакомиться</v>
      </c>
      <c r="W154" s="8" t="s">
        <v>505</v>
      </c>
      <c r="X154" s="6"/>
      <c r="Y154" s="6"/>
      <c r="Z154" s="6"/>
      <c r="AA154" s="6" t="s">
        <v>48</v>
      </c>
      <c r="AB154" s="8"/>
    </row>
    <row r="155" spans="1:28" s="4" customFormat="1" ht="42" customHeight="1">
      <c r="A155" s="5">
        <v>0</v>
      </c>
      <c r="B155" s="6" t="s">
        <v>1051</v>
      </c>
      <c r="C155" s="13">
        <v>713.9</v>
      </c>
      <c r="D155" s="8" t="s">
        <v>1052</v>
      </c>
      <c r="E155" s="8" t="s">
        <v>1053</v>
      </c>
      <c r="F155" s="8" t="s">
        <v>1054</v>
      </c>
      <c r="G155" s="6" t="s">
        <v>38</v>
      </c>
      <c r="H155" s="6" t="s">
        <v>39</v>
      </c>
      <c r="I155" s="8" t="s">
        <v>1055</v>
      </c>
      <c r="J155" s="9">
        <v>1</v>
      </c>
      <c r="K155" s="9">
        <v>166</v>
      </c>
      <c r="L155" s="9">
        <v>2021</v>
      </c>
      <c r="M155" s="8" t="s">
        <v>1056</v>
      </c>
      <c r="N155" s="8" t="s">
        <v>119</v>
      </c>
      <c r="O155" s="8" t="s">
        <v>120</v>
      </c>
      <c r="P155" s="6" t="s">
        <v>714</v>
      </c>
      <c r="Q155" s="8" t="s">
        <v>426</v>
      </c>
      <c r="R155" s="10" t="s">
        <v>1057</v>
      </c>
      <c r="S155" s="11"/>
      <c r="T155" s="6" t="s">
        <v>633</v>
      </c>
      <c r="U155" s="24" t="str">
        <f>HYPERLINK("https://media.infra-m.ru/1215/1215827/cover/1215827.jpg", "Обложка")</f>
        <v>Обложка</v>
      </c>
      <c r="V155" s="24" t="str">
        <f>HYPERLINK("https://znanium.ru/catalog/product/2098992", "Ознакомиться")</f>
        <v>Ознакомиться</v>
      </c>
      <c r="W155" s="8" t="s">
        <v>1058</v>
      </c>
      <c r="X155" s="6"/>
      <c r="Y155" s="6"/>
      <c r="Z155" s="6"/>
      <c r="AA155" s="6" t="s">
        <v>213</v>
      </c>
      <c r="AB155" s="8"/>
    </row>
    <row r="156" spans="1:28" s="4" customFormat="1" ht="42" customHeight="1">
      <c r="A156" s="5">
        <v>0</v>
      </c>
      <c r="B156" s="6" t="s">
        <v>1059</v>
      </c>
      <c r="C156" s="7">
        <v>1332</v>
      </c>
      <c r="D156" s="8" t="s">
        <v>1060</v>
      </c>
      <c r="E156" s="8" t="s">
        <v>1061</v>
      </c>
      <c r="F156" s="8" t="s">
        <v>125</v>
      </c>
      <c r="G156" s="6" t="s">
        <v>38</v>
      </c>
      <c r="H156" s="6" t="s">
        <v>39</v>
      </c>
      <c r="I156" s="8" t="s">
        <v>40</v>
      </c>
      <c r="J156" s="9">
        <v>1</v>
      </c>
      <c r="K156" s="9">
        <v>240</v>
      </c>
      <c r="L156" s="9">
        <v>2024</v>
      </c>
      <c r="M156" s="8" t="s">
        <v>1062</v>
      </c>
      <c r="N156" s="8" t="s">
        <v>42</v>
      </c>
      <c r="O156" s="8" t="s">
        <v>72</v>
      </c>
      <c r="P156" s="6" t="s">
        <v>44</v>
      </c>
      <c r="Q156" s="8" t="s">
        <v>45</v>
      </c>
      <c r="R156" s="10" t="s">
        <v>1027</v>
      </c>
      <c r="S156" s="11"/>
      <c r="T156" s="6"/>
      <c r="U156" s="24" t="str">
        <f>HYPERLINK("https://media.infra-m.ru/2083/2083360/cover/2083360.jpg", "Обложка")</f>
        <v>Обложка</v>
      </c>
      <c r="V156" s="24" t="str">
        <f>HYPERLINK("https://znanium.ru/catalog/product/2083360", "Ознакомиться")</f>
        <v>Ознакомиться</v>
      </c>
      <c r="W156" s="8" t="s">
        <v>128</v>
      </c>
      <c r="X156" s="6"/>
      <c r="Y156" s="6"/>
      <c r="Z156" s="6"/>
      <c r="AA156" s="6" t="s">
        <v>83</v>
      </c>
      <c r="AB156" s="8"/>
    </row>
    <row r="157" spans="1:28" s="4" customFormat="1" ht="44.1" customHeight="1">
      <c r="A157" s="5">
        <v>0</v>
      </c>
      <c r="B157" s="6" t="s">
        <v>1063</v>
      </c>
      <c r="C157" s="7">
        <v>2356.8000000000002</v>
      </c>
      <c r="D157" s="8" t="s">
        <v>1064</v>
      </c>
      <c r="E157" s="8" t="s">
        <v>1065</v>
      </c>
      <c r="F157" s="8" t="s">
        <v>1066</v>
      </c>
      <c r="G157" s="6" t="s">
        <v>96</v>
      </c>
      <c r="H157" s="6" t="s">
        <v>1067</v>
      </c>
      <c r="I157" s="8"/>
      <c r="J157" s="9">
        <v>1</v>
      </c>
      <c r="K157" s="9">
        <v>378</v>
      </c>
      <c r="L157" s="9">
        <v>2026</v>
      </c>
      <c r="M157" s="8" t="s">
        <v>1068</v>
      </c>
      <c r="N157" s="8" t="s">
        <v>42</v>
      </c>
      <c r="O157" s="8" t="s">
        <v>43</v>
      </c>
      <c r="P157" s="6" t="s">
        <v>44</v>
      </c>
      <c r="Q157" s="8" t="s">
        <v>45</v>
      </c>
      <c r="R157" s="10" t="s">
        <v>1069</v>
      </c>
      <c r="S157" s="11"/>
      <c r="T157" s="6"/>
      <c r="U157" s="24" t="str">
        <f>HYPERLINK("https://media.infra-m.ru/2212/2212450/cover/2212450.jpg", "Обложка")</f>
        <v>Обложка</v>
      </c>
      <c r="V157" s="24" t="str">
        <f>HYPERLINK("https://znanium.ru/catalog/product/2163195", "Ознакомиться")</f>
        <v>Ознакомиться</v>
      </c>
      <c r="W157" s="8" t="s">
        <v>358</v>
      </c>
      <c r="X157" s="6"/>
      <c r="Y157" s="6"/>
      <c r="Z157" s="6"/>
      <c r="AA157" s="6" t="s">
        <v>75</v>
      </c>
      <c r="AB157" s="8"/>
    </row>
    <row r="158" spans="1:28" s="4" customFormat="1" ht="51.95" customHeight="1">
      <c r="A158" s="5">
        <v>0</v>
      </c>
      <c r="B158" s="6" t="s">
        <v>1070</v>
      </c>
      <c r="C158" s="7">
        <v>1920</v>
      </c>
      <c r="D158" s="8" t="s">
        <v>1071</v>
      </c>
      <c r="E158" s="8" t="s">
        <v>1072</v>
      </c>
      <c r="F158" s="8" t="s">
        <v>1073</v>
      </c>
      <c r="G158" s="6" t="s">
        <v>96</v>
      </c>
      <c r="H158" s="6" t="s">
        <v>39</v>
      </c>
      <c r="I158" s="8" t="s">
        <v>40</v>
      </c>
      <c r="J158" s="9">
        <v>1</v>
      </c>
      <c r="K158" s="9">
        <v>302</v>
      </c>
      <c r="L158" s="9">
        <v>2025</v>
      </c>
      <c r="M158" s="8" t="s">
        <v>1074</v>
      </c>
      <c r="N158" s="8" t="s">
        <v>42</v>
      </c>
      <c r="O158" s="8" t="s">
        <v>43</v>
      </c>
      <c r="P158" s="6" t="s">
        <v>44</v>
      </c>
      <c r="Q158" s="8" t="s">
        <v>45</v>
      </c>
      <c r="R158" s="10" t="s">
        <v>1075</v>
      </c>
      <c r="S158" s="11"/>
      <c r="T158" s="6"/>
      <c r="U158" s="24" t="str">
        <f>HYPERLINK("https://media.infra-m.ru/2158/2158217/cover/2158217.jpg", "Обложка")</f>
        <v>Обложка</v>
      </c>
      <c r="V158" s="24" t="str">
        <f>HYPERLINK("https://znanium.ru/catalog/product/2158217", "Ознакомиться")</f>
        <v>Ознакомиться</v>
      </c>
      <c r="W158" s="8" t="s">
        <v>1076</v>
      </c>
      <c r="X158" s="6" t="s">
        <v>1077</v>
      </c>
      <c r="Y158" s="6"/>
      <c r="Z158" s="6"/>
      <c r="AA158" s="6" t="s">
        <v>360</v>
      </c>
      <c r="AB158" s="8" t="s">
        <v>1078</v>
      </c>
    </row>
    <row r="159" spans="1:28" s="4" customFormat="1" ht="42" customHeight="1">
      <c r="A159" s="5">
        <v>0</v>
      </c>
      <c r="B159" s="6" t="s">
        <v>1079</v>
      </c>
      <c r="C159" s="7">
        <v>3599.9</v>
      </c>
      <c r="D159" s="8" t="s">
        <v>1080</v>
      </c>
      <c r="E159" s="8" t="s">
        <v>1081</v>
      </c>
      <c r="F159" s="8" t="s">
        <v>1082</v>
      </c>
      <c r="G159" s="6" t="s">
        <v>96</v>
      </c>
      <c r="H159" s="6" t="s">
        <v>1083</v>
      </c>
      <c r="I159" s="8"/>
      <c r="J159" s="9">
        <v>3</v>
      </c>
      <c r="K159" s="9">
        <v>912</v>
      </c>
      <c r="L159" s="9">
        <v>2010</v>
      </c>
      <c r="M159" s="8" t="s">
        <v>1084</v>
      </c>
      <c r="N159" s="8" t="s">
        <v>306</v>
      </c>
      <c r="O159" s="8" t="s">
        <v>1085</v>
      </c>
      <c r="P159" s="6" t="s">
        <v>1083</v>
      </c>
      <c r="Q159" s="8" t="s">
        <v>45</v>
      </c>
      <c r="R159" s="10"/>
      <c r="S159" s="11"/>
      <c r="T159" s="6"/>
      <c r="U159" s="24" t="str">
        <f>HYPERLINK("https://media.infra-m.ru/0230/0230405/cover/230405.jpg", "Обложка")</f>
        <v>Обложка</v>
      </c>
      <c r="V159" s="12"/>
      <c r="W159" s="8" t="s">
        <v>1086</v>
      </c>
      <c r="X159" s="6"/>
      <c r="Y159" s="6"/>
      <c r="Z159" s="6"/>
      <c r="AA159" s="6" t="s">
        <v>1087</v>
      </c>
      <c r="AB159" s="8"/>
    </row>
    <row r="160" spans="1:28" s="4" customFormat="1" ht="42" customHeight="1">
      <c r="A160" s="5">
        <v>0</v>
      </c>
      <c r="B160" s="6" t="s">
        <v>1088</v>
      </c>
      <c r="C160" s="7">
        <v>1140</v>
      </c>
      <c r="D160" s="8" t="s">
        <v>1089</v>
      </c>
      <c r="E160" s="8" t="s">
        <v>1090</v>
      </c>
      <c r="F160" s="8" t="s">
        <v>1091</v>
      </c>
      <c r="G160" s="6" t="s">
        <v>38</v>
      </c>
      <c r="H160" s="6" t="s">
        <v>39</v>
      </c>
      <c r="I160" s="8" t="s">
        <v>40</v>
      </c>
      <c r="J160" s="9">
        <v>1</v>
      </c>
      <c r="K160" s="9">
        <v>174</v>
      </c>
      <c r="L160" s="9">
        <v>2026</v>
      </c>
      <c r="M160" s="8" t="s">
        <v>1092</v>
      </c>
      <c r="N160" s="8" t="s">
        <v>144</v>
      </c>
      <c r="O160" s="8" t="s">
        <v>145</v>
      </c>
      <c r="P160" s="6" t="s">
        <v>44</v>
      </c>
      <c r="Q160" s="8" t="s">
        <v>45</v>
      </c>
      <c r="R160" s="10" t="s">
        <v>146</v>
      </c>
      <c r="S160" s="11"/>
      <c r="T160" s="6"/>
      <c r="U160" s="24" t="str">
        <f>HYPERLINK("https://media.infra-m.ru/2215/2215339/cover/2215339.jpg", "Обложка")</f>
        <v>Обложка</v>
      </c>
      <c r="V160" s="24" t="str">
        <f>HYPERLINK("https://znanium.ru/catalog/product/2215339", "Ознакомиться")</f>
        <v>Ознакомиться</v>
      </c>
      <c r="W160" s="8" t="s">
        <v>156</v>
      </c>
      <c r="X160" s="6"/>
      <c r="Y160" s="6"/>
      <c r="Z160" s="6"/>
      <c r="AA160" s="6" t="s">
        <v>157</v>
      </c>
      <c r="AB160" s="8"/>
    </row>
    <row r="161" spans="1:28" s="4" customFormat="1" ht="42" customHeight="1">
      <c r="A161" s="5">
        <v>0</v>
      </c>
      <c r="B161" s="6" t="s">
        <v>1093</v>
      </c>
      <c r="C161" s="7">
        <v>1224</v>
      </c>
      <c r="D161" s="8" t="s">
        <v>1094</v>
      </c>
      <c r="E161" s="8" t="s">
        <v>1095</v>
      </c>
      <c r="F161" s="8" t="s">
        <v>1096</v>
      </c>
      <c r="G161" s="6" t="s">
        <v>96</v>
      </c>
      <c r="H161" s="6" t="s">
        <v>39</v>
      </c>
      <c r="I161" s="8" t="s">
        <v>40</v>
      </c>
      <c r="J161" s="9">
        <v>1</v>
      </c>
      <c r="K161" s="9">
        <v>203</v>
      </c>
      <c r="L161" s="9">
        <v>2024</v>
      </c>
      <c r="M161" s="8" t="s">
        <v>1097</v>
      </c>
      <c r="N161" s="8" t="s">
        <v>144</v>
      </c>
      <c r="O161" s="8" t="s">
        <v>145</v>
      </c>
      <c r="P161" s="6" t="s">
        <v>44</v>
      </c>
      <c r="Q161" s="8" t="s">
        <v>45</v>
      </c>
      <c r="R161" s="10" t="s">
        <v>1098</v>
      </c>
      <c r="S161" s="11"/>
      <c r="T161" s="6"/>
      <c r="U161" s="24" t="str">
        <f>HYPERLINK("https://media.infra-m.ru/2079/2079775/cover/2079775.jpg", "Обложка")</f>
        <v>Обложка</v>
      </c>
      <c r="V161" s="24" t="str">
        <f>HYPERLINK("https://znanium.ru/catalog/product/2079775", "Ознакомиться")</f>
        <v>Ознакомиться</v>
      </c>
      <c r="W161" s="8" t="s">
        <v>1099</v>
      </c>
      <c r="X161" s="6"/>
      <c r="Y161" s="6"/>
      <c r="Z161" s="6"/>
      <c r="AA161" s="6" t="s">
        <v>48</v>
      </c>
      <c r="AB161" s="8"/>
    </row>
    <row r="162" spans="1:28" s="4" customFormat="1" ht="42" customHeight="1">
      <c r="A162" s="5">
        <v>0</v>
      </c>
      <c r="B162" s="6" t="s">
        <v>1100</v>
      </c>
      <c r="C162" s="13">
        <v>636</v>
      </c>
      <c r="D162" s="8" t="s">
        <v>1101</v>
      </c>
      <c r="E162" s="8" t="s">
        <v>1102</v>
      </c>
      <c r="F162" s="8" t="s">
        <v>1103</v>
      </c>
      <c r="G162" s="6" t="s">
        <v>38</v>
      </c>
      <c r="H162" s="6" t="s">
        <v>39</v>
      </c>
      <c r="I162" s="8" t="s">
        <v>40</v>
      </c>
      <c r="J162" s="9">
        <v>1</v>
      </c>
      <c r="K162" s="9">
        <v>118</v>
      </c>
      <c r="L162" s="9">
        <v>2022</v>
      </c>
      <c r="M162" s="8" t="s">
        <v>1104</v>
      </c>
      <c r="N162" s="8" t="s">
        <v>42</v>
      </c>
      <c r="O162" s="8" t="s">
        <v>72</v>
      </c>
      <c r="P162" s="6" t="s">
        <v>44</v>
      </c>
      <c r="Q162" s="8" t="s">
        <v>45</v>
      </c>
      <c r="R162" s="10" t="s">
        <v>1105</v>
      </c>
      <c r="S162" s="11"/>
      <c r="T162" s="6"/>
      <c r="U162" s="24" t="str">
        <f>HYPERLINK("https://media.infra-m.ru/1946/1946533/cover/1946533.jpg", "Обложка")</f>
        <v>Обложка</v>
      </c>
      <c r="V162" s="24" t="str">
        <f>HYPERLINK("https://znanium.ru/catalog/product/1946533", "Ознакомиться")</f>
        <v>Ознакомиться</v>
      </c>
      <c r="W162" s="8" t="s">
        <v>293</v>
      </c>
      <c r="X162" s="6"/>
      <c r="Y162" s="6"/>
      <c r="Z162" s="6"/>
      <c r="AA162" s="6" t="s">
        <v>183</v>
      </c>
      <c r="AB162" s="8"/>
    </row>
    <row r="163" spans="1:28" s="4" customFormat="1" ht="42" customHeight="1">
      <c r="A163" s="5">
        <v>0</v>
      </c>
      <c r="B163" s="6" t="s">
        <v>1106</v>
      </c>
      <c r="C163" s="7">
        <v>1072.8</v>
      </c>
      <c r="D163" s="8" t="s">
        <v>1107</v>
      </c>
      <c r="E163" s="8" t="s">
        <v>1108</v>
      </c>
      <c r="F163" s="8" t="s">
        <v>1109</v>
      </c>
      <c r="G163" s="6" t="s">
        <v>38</v>
      </c>
      <c r="H163" s="6" t="s">
        <v>39</v>
      </c>
      <c r="I163" s="8" t="s">
        <v>40</v>
      </c>
      <c r="J163" s="9">
        <v>1</v>
      </c>
      <c r="K163" s="9">
        <v>172</v>
      </c>
      <c r="L163" s="9">
        <v>2025</v>
      </c>
      <c r="M163" s="8" t="s">
        <v>1110</v>
      </c>
      <c r="N163" s="8" t="s">
        <v>42</v>
      </c>
      <c r="O163" s="8" t="s">
        <v>43</v>
      </c>
      <c r="P163" s="6" t="s">
        <v>44</v>
      </c>
      <c r="Q163" s="8" t="s">
        <v>45</v>
      </c>
      <c r="R163" s="10" t="s">
        <v>1111</v>
      </c>
      <c r="S163" s="11"/>
      <c r="T163" s="6"/>
      <c r="U163" s="24" t="str">
        <f>HYPERLINK("https://media.infra-m.ru/2209/2209154/cover/2209154.jpg", "Обложка")</f>
        <v>Обложка</v>
      </c>
      <c r="V163" s="24" t="str">
        <f>HYPERLINK("https://znanium.ru/catalog/product/2105790", "Ознакомиться")</f>
        <v>Ознакомиться</v>
      </c>
      <c r="W163" s="8" t="s">
        <v>113</v>
      </c>
      <c r="X163" s="6"/>
      <c r="Y163" s="6"/>
      <c r="Z163" s="6"/>
      <c r="AA163" s="6" t="s">
        <v>57</v>
      </c>
      <c r="AB163" s="8"/>
    </row>
    <row r="164" spans="1:28" s="4" customFormat="1" ht="42" customHeight="1">
      <c r="A164" s="5">
        <v>0</v>
      </c>
      <c r="B164" s="6" t="s">
        <v>1112</v>
      </c>
      <c r="C164" s="7">
        <v>1380</v>
      </c>
      <c r="D164" s="8" t="s">
        <v>1113</v>
      </c>
      <c r="E164" s="8" t="s">
        <v>1114</v>
      </c>
      <c r="F164" s="8" t="s">
        <v>1115</v>
      </c>
      <c r="G164" s="6" t="s">
        <v>62</v>
      </c>
      <c r="H164" s="6" t="s">
        <v>167</v>
      </c>
      <c r="I164" s="8"/>
      <c r="J164" s="9">
        <v>1</v>
      </c>
      <c r="K164" s="9">
        <v>256</v>
      </c>
      <c r="L164" s="9">
        <v>2016</v>
      </c>
      <c r="M164" s="8" t="s">
        <v>1116</v>
      </c>
      <c r="N164" s="8" t="s">
        <v>119</v>
      </c>
      <c r="O164" s="8" t="s">
        <v>120</v>
      </c>
      <c r="P164" s="6" t="s">
        <v>199</v>
      </c>
      <c r="Q164" s="8" t="s">
        <v>200</v>
      </c>
      <c r="R164" s="10" t="s">
        <v>1117</v>
      </c>
      <c r="S164" s="11"/>
      <c r="T164" s="6"/>
      <c r="U164" s="24" t="str">
        <f>HYPERLINK("https://media.infra-m.ru/0978/0978935/cover/978935.jpg", "Обложка")</f>
        <v>Обложка</v>
      </c>
      <c r="V164" s="24" t="str">
        <f>HYPERLINK("https://znanium.ru/catalog/product/526413", "Ознакомиться")</f>
        <v>Ознакомиться</v>
      </c>
      <c r="W164" s="8" t="s">
        <v>1118</v>
      </c>
      <c r="X164" s="6"/>
      <c r="Y164" s="6"/>
      <c r="Z164" s="6"/>
      <c r="AA164" s="6" t="s">
        <v>227</v>
      </c>
      <c r="AB164" s="8"/>
    </row>
    <row r="165" spans="1:28" s="4" customFormat="1" ht="51.95" customHeight="1">
      <c r="A165" s="5">
        <v>0</v>
      </c>
      <c r="B165" s="6" t="s">
        <v>1119</v>
      </c>
      <c r="C165" s="7">
        <v>1499.9</v>
      </c>
      <c r="D165" s="8" t="s">
        <v>1120</v>
      </c>
      <c r="E165" s="8" t="s">
        <v>1121</v>
      </c>
      <c r="F165" s="8" t="s">
        <v>197</v>
      </c>
      <c r="G165" s="6" t="s">
        <v>96</v>
      </c>
      <c r="H165" s="6" t="s">
        <v>167</v>
      </c>
      <c r="I165" s="8"/>
      <c r="J165" s="9">
        <v>1</v>
      </c>
      <c r="K165" s="9">
        <v>592</v>
      </c>
      <c r="L165" s="9">
        <v>2019</v>
      </c>
      <c r="M165" s="8" t="s">
        <v>1122</v>
      </c>
      <c r="N165" s="8" t="s">
        <v>119</v>
      </c>
      <c r="O165" s="8" t="s">
        <v>120</v>
      </c>
      <c r="P165" s="6" t="s">
        <v>248</v>
      </c>
      <c r="Q165" s="8" t="s">
        <v>45</v>
      </c>
      <c r="R165" s="10" t="s">
        <v>839</v>
      </c>
      <c r="S165" s="11"/>
      <c r="T165" s="6" t="s">
        <v>633</v>
      </c>
      <c r="U165" s="24" t="str">
        <f>HYPERLINK("https://media.infra-m.ru/0991/0991881/cover/991881.jpg", "Обложка")</f>
        <v>Обложка</v>
      </c>
      <c r="V165" s="24" t="str">
        <f>HYPERLINK("https://znanium.ru/catalog/product/991881", "Ознакомиться")</f>
        <v>Ознакомиться</v>
      </c>
      <c r="W165" s="8" t="s">
        <v>202</v>
      </c>
      <c r="X165" s="6"/>
      <c r="Y165" s="6"/>
      <c r="Z165" s="6"/>
      <c r="AA165" s="6" t="s">
        <v>227</v>
      </c>
      <c r="AB165" s="8"/>
    </row>
    <row r="166" spans="1:28" s="4" customFormat="1" ht="42" customHeight="1">
      <c r="A166" s="5">
        <v>0</v>
      </c>
      <c r="B166" s="6" t="s">
        <v>1123</v>
      </c>
      <c r="C166" s="7">
        <v>2748</v>
      </c>
      <c r="D166" s="8" t="s">
        <v>1124</v>
      </c>
      <c r="E166" s="8" t="s">
        <v>1121</v>
      </c>
      <c r="F166" s="8" t="s">
        <v>1125</v>
      </c>
      <c r="G166" s="6" t="s">
        <v>96</v>
      </c>
      <c r="H166" s="6" t="s">
        <v>39</v>
      </c>
      <c r="I166" s="8" t="s">
        <v>1126</v>
      </c>
      <c r="J166" s="9">
        <v>1</v>
      </c>
      <c r="K166" s="9">
        <v>491</v>
      </c>
      <c r="L166" s="9">
        <v>2024</v>
      </c>
      <c r="M166" s="8" t="s">
        <v>1127</v>
      </c>
      <c r="N166" s="8" t="s">
        <v>119</v>
      </c>
      <c r="O166" s="8" t="s">
        <v>120</v>
      </c>
      <c r="P166" s="6" t="s">
        <v>248</v>
      </c>
      <c r="Q166" s="8" t="s">
        <v>45</v>
      </c>
      <c r="R166" s="10" t="s">
        <v>170</v>
      </c>
      <c r="S166" s="11"/>
      <c r="T166" s="6"/>
      <c r="U166" s="24" t="str">
        <f>HYPERLINK("https://media.infra-m.ru/2146/2146549/cover/2146549.jpg", "Обложка")</f>
        <v>Обложка</v>
      </c>
      <c r="V166" s="24" t="str">
        <f>HYPERLINK("https://znanium.ru/catalog/product/2146549", "Ознакомиться")</f>
        <v>Ознакомиться</v>
      </c>
      <c r="W166" s="8" t="s">
        <v>1128</v>
      </c>
      <c r="X166" s="6"/>
      <c r="Y166" s="6"/>
      <c r="Z166" s="6"/>
      <c r="AA166" s="6" t="s">
        <v>83</v>
      </c>
      <c r="AB166" s="8"/>
    </row>
    <row r="167" spans="1:28" s="4" customFormat="1" ht="42" customHeight="1">
      <c r="A167" s="5">
        <v>0</v>
      </c>
      <c r="B167" s="6" t="s">
        <v>1129</v>
      </c>
      <c r="C167" s="7">
        <v>2160</v>
      </c>
      <c r="D167" s="8" t="s">
        <v>1130</v>
      </c>
      <c r="E167" s="8" t="s">
        <v>1131</v>
      </c>
      <c r="F167" s="8" t="s">
        <v>339</v>
      </c>
      <c r="G167" s="6" t="s">
        <v>96</v>
      </c>
      <c r="H167" s="6" t="s">
        <v>39</v>
      </c>
      <c r="I167" s="8" t="s">
        <v>340</v>
      </c>
      <c r="J167" s="9">
        <v>1</v>
      </c>
      <c r="K167" s="9">
        <v>381</v>
      </c>
      <c r="L167" s="9">
        <v>2024</v>
      </c>
      <c r="M167" s="8" t="s">
        <v>1132</v>
      </c>
      <c r="N167" s="8" t="s">
        <v>119</v>
      </c>
      <c r="O167" s="8" t="s">
        <v>458</v>
      </c>
      <c r="P167" s="6" t="s">
        <v>271</v>
      </c>
      <c r="Q167" s="8" t="s">
        <v>180</v>
      </c>
      <c r="R167" s="10" t="s">
        <v>335</v>
      </c>
      <c r="S167" s="11"/>
      <c r="T167" s="6"/>
      <c r="U167" s="24" t="str">
        <f>HYPERLINK("https://media.infra-m.ru/1415/1415375/cover/1415375.jpg", "Обложка")</f>
        <v>Обложка</v>
      </c>
      <c r="V167" s="24" t="str">
        <f>HYPERLINK("https://znanium.ru/catalog/product/1415375", "Ознакомиться")</f>
        <v>Ознакомиться</v>
      </c>
      <c r="W167" s="8" t="s">
        <v>343</v>
      </c>
      <c r="X167" s="6"/>
      <c r="Y167" s="6"/>
      <c r="Z167" s="6"/>
      <c r="AA167" s="6" t="s">
        <v>48</v>
      </c>
      <c r="AB167" s="8"/>
    </row>
    <row r="168" spans="1:28" s="4" customFormat="1" ht="42" customHeight="1">
      <c r="A168" s="5">
        <v>0</v>
      </c>
      <c r="B168" s="6" t="s">
        <v>1133</v>
      </c>
      <c r="C168" s="13">
        <v>840</v>
      </c>
      <c r="D168" s="8" t="s">
        <v>1134</v>
      </c>
      <c r="E168" s="8" t="s">
        <v>1135</v>
      </c>
      <c r="F168" s="8" t="s">
        <v>1136</v>
      </c>
      <c r="G168" s="6" t="s">
        <v>38</v>
      </c>
      <c r="H168" s="6" t="s">
        <v>118</v>
      </c>
      <c r="I168" s="8" t="s">
        <v>40</v>
      </c>
      <c r="J168" s="9">
        <v>1</v>
      </c>
      <c r="K168" s="9">
        <v>134</v>
      </c>
      <c r="L168" s="9">
        <v>2025</v>
      </c>
      <c r="M168" s="8" t="s">
        <v>1137</v>
      </c>
      <c r="N168" s="8" t="s">
        <v>42</v>
      </c>
      <c r="O168" s="8" t="s">
        <v>43</v>
      </c>
      <c r="P168" s="6" t="s">
        <v>44</v>
      </c>
      <c r="Q168" s="8" t="s">
        <v>45</v>
      </c>
      <c r="R168" s="10" t="s">
        <v>1138</v>
      </c>
      <c r="S168" s="11"/>
      <c r="T168" s="6"/>
      <c r="U168" s="24" t="str">
        <f>HYPERLINK("https://media.infra-m.ru/2167/2167410/cover/2167410.jpg", "Обложка")</f>
        <v>Обложка</v>
      </c>
      <c r="V168" s="24" t="str">
        <f>HYPERLINK("https://znanium.ru/catalog/product/2167410", "Ознакомиться")</f>
        <v>Ознакомиться</v>
      </c>
      <c r="W168" s="8" t="s">
        <v>256</v>
      </c>
      <c r="X168" s="6"/>
      <c r="Y168" s="6"/>
      <c r="Z168" s="6"/>
      <c r="AA168" s="6" t="s">
        <v>412</v>
      </c>
      <c r="AB168" s="8"/>
    </row>
    <row r="169" spans="1:28" s="4" customFormat="1" ht="42" customHeight="1">
      <c r="A169" s="5">
        <v>0</v>
      </c>
      <c r="B169" s="6" t="s">
        <v>1139</v>
      </c>
      <c r="C169" s="13">
        <v>456</v>
      </c>
      <c r="D169" s="8" t="s">
        <v>1140</v>
      </c>
      <c r="E169" s="8" t="s">
        <v>1141</v>
      </c>
      <c r="F169" s="8" t="s">
        <v>1136</v>
      </c>
      <c r="G169" s="6" t="s">
        <v>38</v>
      </c>
      <c r="H169" s="6" t="s">
        <v>118</v>
      </c>
      <c r="I169" s="8" t="s">
        <v>40</v>
      </c>
      <c r="J169" s="9">
        <v>1</v>
      </c>
      <c r="K169" s="9">
        <v>112</v>
      </c>
      <c r="L169" s="9">
        <v>2019</v>
      </c>
      <c r="M169" s="8" t="s">
        <v>1142</v>
      </c>
      <c r="N169" s="8" t="s">
        <v>42</v>
      </c>
      <c r="O169" s="8" t="s">
        <v>43</v>
      </c>
      <c r="P169" s="6" t="s">
        <v>44</v>
      </c>
      <c r="Q169" s="8" t="s">
        <v>45</v>
      </c>
      <c r="R169" s="10" t="s">
        <v>1138</v>
      </c>
      <c r="S169" s="11"/>
      <c r="T169" s="6"/>
      <c r="U169" s="24" t="str">
        <f>HYPERLINK("https://media.infra-m.ru/1019/1019052/cover/1019052.jpg", "Обложка")</f>
        <v>Обложка</v>
      </c>
      <c r="V169" s="24" t="str">
        <f>HYPERLINK("https://znanium.ru/catalog/product/2167410", "Ознакомиться")</f>
        <v>Ознакомиться</v>
      </c>
      <c r="W169" s="8" t="s">
        <v>256</v>
      </c>
      <c r="X169" s="6"/>
      <c r="Y169" s="6"/>
      <c r="Z169" s="6"/>
      <c r="AA169" s="6" t="s">
        <v>213</v>
      </c>
      <c r="AB169" s="8"/>
    </row>
    <row r="170" spans="1:28" s="4" customFormat="1" ht="51.95" customHeight="1">
      <c r="A170" s="5">
        <v>0</v>
      </c>
      <c r="B170" s="6" t="s">
        <v>1143</v>
      </c>
      <c r="C170" s="7">
        <v>1848</v>
      </c>
      <c r="D170" s="8" t="s">
        <v>1144</v>
      </c>
      <c r="E170" s="8" t="s">
        <v>1145</v>
      </c>
      <c r="F170" s="8" t="s">
        <v>1146</v>
      </c>
      <c r="G170" s="6" t="s">
        <v>62</v>
      </c>
      <c r="H170" s="6" t="s">
        <v>39</v>
      </c>
      <c r="I170" s="8" t="s">
        <v>340</v>
      </c>
      <c r="J170" s="9">
        <v>1</v>
      </c>
      <c r="K170" s="9">
        <v>336</v>
      </c>
      <c r="L170" s="9">
        <v>2023</v>
      </c>
      <c r="M170" s="8" t="s">
        <v>1147</v>
      </c>
      <c r="N170" s="8" t="s">
        <v>423</v>
      </c>
      <c r="O170" s="8" t="s">
        <v>450</v>
      </c>
      <c r="P170" s="6" t="s">
        <v>459</v>
      </c>
      <c r="Q170" s="8" t="s">
        <v>200</v>
      </c>
      <c r="R170" s="10" t="s">
        <v>1148</v>
      </c>
      <c r="S170" s="11"/>
      <c r="T170" s="6" t="s">
        <v>633</v>
      </c>
      <c r="U170" s="24" t="str">
        <f>HYPERLINK("https://media.infra-m.ru/1976/1976191/cover/1976191.jpg", "Обложка")</f>
        <v>Обложка</v>
      </c>
      <c r="V170" s="24" t="str">
        <f>HYPERLINK("https://znanium.ru/catalog/product/1976191", "Ознакомиться")</f>
        <v>Ознакомиться</v>
      </c>
      <c r="W170" s="8" t="s">
        <v>1149</v>
      </c>
      <c r="X170" s="6"/>
      <c r="Y170" s="6"/>
      <c r="Z170" s="6"/>
      <c r="AA170" s="6" t="s">
        <v>227</v>
      </c>
      <c r="AB170" s="8"/>
    </row>
    <row r="171" spans="1:28" s="4" customFormat="1" ht="42" customHeight="1">
      <c r="A171" s="5">
        <v>0</v>
      </c>
      <c r="B171" s="6" t="s">
        <v>1150</v>
      </c>
      <c r="C171" s="7">
        <v>2100</v>
      </c>
      <c r="D171" s="8" t="s">
        <v>1151</v>
      </c>
      <c r="E171" s="8" t="s">
        <v>1152</v>
      </c>
      <c r="F171" s="8" t="s">
        <v>889</v>
      </c>
      <c r="G171" s="6" t="s">
        <v>62</v>
      </c>
      <c r="H171" s="6" t="s">
        <v>39</v>
      </c>
      <c r="I171" s="8" t="s">
        <v>40</v>
      </c>
      <c r="J171" s="9">
        <v>1</v>
      </c>
      <c r="K171" s="9">
        <v>336</v>
      </c>
      <c r="L171" s="9">
        <v>2026</v>
      </c>
      <c r="M171" s="8" t="s">
        <v>1153</v>
      </c>
      <c r="N171" s="8" t="s">
        <v>144</v>
      </c>
      <c r="O171" s="8" t="s">
        <v>145</v>
      </c>
      <c r="P171" s="6" t="s">
        <v>44</v>
      </c>
      <c r="Q171" s="8" t="s">
        <v>45</v>
      </c>
      <c r="R171" s="10" t="s">
        <v>1154</v>
      </c>
      <c r="S171" s="11"/>
      <c r="T171" s="6"/>
      <c r="U171" s="24" t="str">
        <f>HYPERLINK("https://media.infra-m.ru/2215/2215343/cover/2215343.jpg", "Обложка")</f>
        <v>Обложка</v>
      </c>
      <c r="V171" s="24" t="str">
        <f>HYPERLINK("https://znanium.ru/catalog/product/2215343", "Ознакомиться")</f>
        <v>Ознакомиться</v>
      </c>
      <c r="W171" s="8" t="s">
        <v>892</v>
      </c>
      <c r="X171" s="6"/>
      <c r="Y171" s="6"/>
      <c r="Z171" s="6"/>
      <c r="AA171" s="6" t="s">
        <v>48</v>
      </c>
      <c r="AB171" s="8"/>
    </row>
    <row r="172" spans="1:28" s="4" customFormat="1" ht="51.95" customHeight="1">
      <c r="A172" s="5">
        <v>0</v>
      </c>
      <c r="B172" s="6" t="s">
        <v>1155</v>
      </c>
      <c r="C172" s="7">
        <v>1084.8</v>
      </c>
      <c r="D172" s="8" t="s">
        <v>1156</v>
      </c>
      <c r="E172" s="8" t="s">
        <v>1157</v>
      </c>
      <c r="F172" s="8" t="s">
        <v>1158</v>
      </c>
      <c r="G172" s="6" t="s">
        <v>62</v>
      </c>
      <c r="H172" s="6" t="s">
        <v>39</v>
      </c>
      <c r="I172" s="8" t="s">
        <v>40</v>
      </c>
      <c r="J172" s="9">
        <v>1</v>
      </c>
      <c r="K172" s="9">
        <v>165</v>
      </c>
      <c r="L172" s="9">
        <v>2026</v>
      </c>
      <c r="M172" s="8" t="s">
        <v>1159</v>
      </c>
      <c r="N172" s="8" t="s">
        <v>144</v>
      </c>
      <c r="O172" s="8" t="s">
        <v>145</v>
      </c>
      <c r="P172" s="6" t="s">
        <v>44</v>
      </c>
      <c r="Q172" s="8" t="s">
        <v>45</v>
      </c>
      <c r="R172" s="10" t="s">
        <v>1160</v>
      </c>
      <c r="S172" s="11"/>
      <c r="T172" s="6"/>
      <c r="U172" s="24" t="str">
        <f>HYPERLINK("https://media.infra-m.ru/2216/2216858/cover/2216858.jpg", "Обложка")</f>
        <v>Обложка</v>
      </c>
      <c r="V172" s="24" t="str">
        <f>HYPERLINK("https://znanium.ru/catalog/product/2215347", "Ознакомиться")</f>
        <v>Ознакомиться</v>
      </c>
      <c r="W172" s="8" t="s">
        <v>220</v>
      </c>
      <c r="X172" s="6"/>
      <c r="Y172" s="6"/>
      <c r="Z172" s="6"/>
      <c r="AA172" s="6" t="s">
        <v>213</v>
      </c>
      <c r="AB172" s="8"/>
    </row>
    <row r="173" spans="1:28" s="4" customFormat="1" ht="42" customHeight="1">
      <c r="A173" s="5">
        <v>0</v>
      </c>
      <c r="B173" s="6" t="s">
        <v>1161</v>
      </c>
      <c r="C173" s="7">
        <v>2218.8000000000002</v>
      </c>
      <c r="D173" s="8" t="s">
        <v>1162</v>
      </c>
      <c r="E173" s="8" t="s">
        <v>1163</v>
      </c>
      <c r="F173" s="8" t="s">
        <v>627</v>
      </c>
      <c r="G173" s="6" t="s">
        <v>62</v>
      </c>
      <c r="H173" s="6" t="s">
        <v>39</v>
      </c>
      <c r="I173" s="8" t="s">
        <v>629</v>
      </c>
      <c r="J173" s="9">
        <v>1</v>
      </c>
      <c r="K173" s="9">
        <v>331</v>
      </c>
      <c r="L173" s="9">
        <v>2026</v>
      </c>
      <c r="M173" s="8" t="s">
        <v>1164</v>
      </c>
      <c r="N173" s="8" t="s">
        <v>177</v>
      </c>
      <c r="O173" s="8" t="s">
        <v>190</v>
      </c>
      <c r="P173" s="6" t="s">
        <v>1165</v>
      </c>
      <c r="Q173" s="8" t="s">
        <v>45</v>
      </c>
      <c r="R173" s="10" t="s">
        <v>1166</v>
      </c>
      <c r="S173" s="11"/>
      <c r="T173" s="6"/>
      <c r="U173" s="24" t="str">
        <f>HYPERLINK("https://media.infra-m.ru/2214/2214699/cover/2214699.jpg", "Обложка")</f>
        <v>Обложка</v>
      </c>
      <c r="V173" s="24" t="str">
        <f>HYPERLINK("https://znanium.ru/catalog/product/2214699", "Ознакомиться")</f>
        <v>Ознакомиться</v>
      </c>
      <c r="W173" s="8"/>
      <c r="X173" s="6"/>
      <c r="Y173" s="6"/>
      <c r="Z173" s="6"/>
      <c r="AA173" s="6" t="s">
        <v>1167</v>
      </c>
      <c r="AB173" s="8"/>
    </row>
    <row r="174" spans="1:28" s="4" customFormat="1" ht="42" customHeight="1">
      <c r="A174" s="5">
        <v>0</v>
      </c>
      <c r="B174" s="6" t="s">
        <v>1168</v>
      </c>
      <c r="C174" s="7">
        <v>1152</v>
      </c>
      <c r="D174" s="8" t="s">
        <v>1169</v>
      </c>
      <c r="E174" s="8" t="s">
        <v>1170</v>
      </c>
      <c r="F174" s="8" t="s">
        <v>627</v>
      </c>
      <c r="G174" s="6" t="s">
        <v>38</v>
      </c>
      <c r="H174" s="6" t="s">
        <v>39</v>
      </c>
      <c r="I174" s="8" t="s">
        <v>629</v>
      </c>
      <c r="J174" s="9">
        <v>1</v>
      </c>
      <c r="K174" s="9">
        <v>271</v>
      </c>
      <c r="L174" s="9">
        <v>2022</v>
      </c>
      <c r="M174" s="8" t="s">
        <v>1171</v>
      </c>
      <c r="N174" s="8" t="s">
        <v>177</v>
      </c>
      <c r="O174" s="8" t="s">
        <v>190</v>
      </c>
      <c r="P174" s="6" t="s">
        <v>1165</v>
      </c>
      <c r="Q174" s="8" t="s">
        <v>45</v>
      </c>
      <c r="R174" s="10" t="s">
        <v>1166</v>
      </c>
      <c r="S174" s="11"/>
      <c r="T174" s="6"/>
      <c r="U174" s="24" t="str">
        <f>HYPERLINK("https://media.infra-m.ru/1868/1868800/cover/1868800.jpg", "Обложка")</f>
        <v>Обложка</v>
      </c>
      <c r="V174" s="24" t="str">
        <f>HYPERLINK("https://znanium.ru/catalog/product/2214699", "Ознакомиться")</f>
        <v>Ознакомиться</v>
      </c>
      <c r="W174" s="8"/>
      <c r="X174" s="6"/>
      <c r="Y174" s="6"/>
      <c r="Z174" s="6"/>
      <c r="AA174" s="6" t="s">
        <v>213</v>
      </c>
      <c r="AB174" s="8"/>
    </row>
    <row r="175" spans="1:28" s="4" customFormat="1" ht="42" customHeight="1">
      <c r="A175" s="5">
        <v>0</v>
      </c>
      <c r="B175" s="6" t="s">
        <v>1172</v>
      </c>
      <c r="C175" s="13">
        <v>804</v>
      </c>
      <c r="D175" s="8" t="s">
        <v>1173</v>
      </c>
      <c r="E175" s="8" t="s">
        <v>1174</v>
      </c>
      <c r="F175" s="8" t="s">
        <v>627</v>
      </c>
      <c r="G175" s="6" t="s">
        <v>62</v>
      </c>
      <c r="H175" s="6" t="s">
        <v>39</v>
      </c>
      <c r="I175" s="8"/>
      <c r="J175" s="9">
        <v>1</v>
      </c>
      <c r="K175" s="9">
        <v>176</v>
      </c>
      <c r="L175" s="9">
        <v>2019</v>
      </c>
      <c r="M175" s="8" t="s">
        <v>1175</v>
      </c>
      <c r="N175" s="8" t="s">
        <v>177</v>
      </c>
      <c r="O175" s="8" t="s">
        <v>190</v>
      </c>
      <c r="P175" s="6" t="s">
        <v>1165</v>
      </c>
      <c r="Q175" s="8" t="s">
        <v>45</v>
      </c>
      <c r="R175" s="10" t="s">
        <v>1166</v>
      </c>
      <c r="S175" s="11"/>
      <c r="T175" s="6"/>
      <c r="U175" s="24" t="str">
        <f>HYPERLINK("https://media.infra-m.ru/1007/1007533/cover/1007533.jpg", "Обложка")</f>
        <v>Обложка</v>
      </c>
      <c r="V175" s="24" t="str">
        <f>HYPERLINK("https://znanium.ru/catalog/product/1215829", "Ознакомиться")</f>
        <v>Ознакомиться</v>
      </c>
      <c r="W175" s="8"/>
      <c r="X175" s="6"/>
      <c r="Y175" s="6"/>
      <c r="Z175" s="6"/>
      <c r="AA175" s="6" t="s">
        <v>213</v>
      </c>
      <c r="AB175" s="8"/>
    </row>
    <row r="176" spans="1:28" s="4" customFormat="1" ht="44.1" customHeight="1">
      <c r="A176" s="5">
        <v>0</v>
      </c>
      <c r="B176" s="6" t="s">
        <v>1176</v>
      </c>
      <c r="C176" s="13">
        <v>744</v>
      </c>
      <c r="D176" s="8" t="s">
        <v>1177</v>
      </c>
      <c r="E176" s="8" t="s">
        <v>1178</v>
      </c>
      <c r="F176" s="8" t="s">
        <v>627</v>
      </c>
      <c r="G176" s="6" t="s">
        <v>38</v>
      </c>
      <c r="H176" s="6" t="s">
        <v>39</v>
      </c>
      <c r="I176" s="8" t="s">
        <v>629</v>
      </c>
      <c r="J176" s="9">
        <v>1</v>
      </c>
      <c r="K176" s="9">
        <v>138</v>
      </c>
      <c r="L176" s="9">
        <v>2023</v>
      </c>
      <c r="M176" s="8" t="s">
        <v>1179</v>
      </c>
      <c r="N176" s="8" t="s">
        <v>177</v>
      </c>
      <c r="O176" s="8" t="s">
        <v>178</v>
      </c>
      <c r="P176" s="6" t="s">
        <v>1165</v>
      </c>
      <c r="Q176" s="8" t="s">
        <v>45</v>
      </c>
      <c r="R176" s="10" t="s">
        <v>1180</v>
      </c>
      <c r="S176" s="11"/>
      <c r="T176" s="6"/>
      <c r="U176" s="24" t="str">
        <f>HYPERLINK("https://media.infra-m.ru/1919/1919442/cover/1919442.jpg", "Обложка")</f>
        <v>Обложка</v>
      </c>
      <c r="V176" s="24" t="str">
        <f>HYPERLINK("https://znanium.ru/catalog/product/1919442", "Ознакомиться")</f>
        <v>Ознакомиться</v>
      </c>
      <c r="W176" s="8"/>
      <c r="X176" s="6"/>
      <c r="Y176" s="6"/>
      <c r="Z176" s="6"/>
      <c r="AA176" s="6" t="s">
        <v>91</v>
      </c>
      <c r="AB176" s="8"/>
    </row>
    <row r="177" spans="1:28" s="4" customFormat="1" ht="44.1" customHeight="1">
      <c r="A177" s="5">
        <v>0</v>
      </c>
      <c r="B177" s="6" t="s">
        <v>1181</v>
      </c>
      <c r="C177" s="13">
        <v>636</v>
      </c>
      <c r="D177" s="8" t="s">
        <v>1182</v>
      </c>
      <c r="E177" s="8" t="s">
        <v>1183</v>
      </c>
      <c r="F177" s="8" t="s">
        <v>627</v>
      </c>
      <c r="G177" s="6" t="s">
        <v>38</v>
      </c>
      <c r="H177" s="6" t="s">
        <v>39</v>
      </c>
      <c r="I177" s="8" t="s">
        <v>629</v>
      </c>
      <c r="J177" s="9">
        <v>1</v>
      </c>
      <c r="K177" s="9">
        <v>96</v>
      </c>
      <c r="L177" s="9">
        <v>2026</v>
      </c>
      <c r="M177" s="8" t="s">
        <v>1184</v>
      </c>
      <c r="N177" s="8" t="s">
        <v>177</v>
      </c>
      <c r="O177" s="8" t="s">
        <v>190</v>
      </c>
      <c r="P177" s="6" t="s">
        <v>1165</v>
      </c>
      <c r="Q177" s="8" t="s">
        <v>45</v>
      </c>
      <c r="R177" s="10" t="s">
        <v>1185</v>
      </c>
      <c r="S177" s="11"/>
      <c r="T177" s="6"/>
      <c r="U177" s="24" t="str">
        <f>HYPERLINK("https://media.infra-m.ru/2218/2218839/cover/2218839.jpg", "Обложка")</f>
        <v>Обложка</v>
      </c>
      <c r="V177" s="24" t="str">
        <f>HYPERLINK("https://znanium.ru/catalog/product/2218839", "Ознакомиться")</f>
        <v>Ознакомиться</v>
      </c>
      <c r="W177" s="8"/>
      <c r="X177" s="6"/>
      <c r="Y177" s="6"/>
      <c r="Z177" s="6"/>
      <c r="AA177" s="6" t="s">
        <v>213</v>
      </c>
      <c r="AB177" s="8"/>
    </row>
    <row r="178" spans="1:28" s="4" customFormat="1" ht="44.1" customHeight="1">
      <c r="A178" s="5">
        <v>0</v>
      </c>
      <c r="B178" s="6" t="s">
        <v>1186</v>
      </c>
      <c r="C178" s="7">
        <v>1798.8</v>
      </c>
      <c r="D178" s="8" t="s">
        <v>1187</v>
      </c>
      <c r="E178" s="8" t="s">
        <v>1188</v>
      </c>
      <c r="F178" s="8" t="s">
        <v>627</v>
      </c>
      <c r="G178" s="6" t="s">
        <v>62</v>
      </c>
      <c r="H178" s="6" t="s">
        <v>39</v>
      </c>
      <c r="I178" s="8"/>
      <c r="J178" s="9">
        <v>1</v>
      </c>
      <c r="K178" s="9">
        <v>130</v>
      </c>
      <c r="L178" s="9">
        <v>2026</v>
      </c>
      <c r="M178" s="8" t="s">
        <v>1189</v>
      </c>
      <c r="N178" s="8" t="s">
        <v>177</v>
      </c>
      <c r="O178" s="8" t="s">
        <v>190</v>
      </c>
      <c r="P178" s="6" t="s">
        <v>1165</v>
      </c>
      <c r="Q178" s="8" t="s">
        <v>45</v>
      </c>
      <c r="R178" s="10" t="s">
        <v>1185</v>
      </c>
      <c r="S178" s="11"/>
      <c r="T178" s="6"/>
      <c r="U178" s="24" t="str">
        <f>HYPERLINK("https://media.infra-m.ru/2214/2214700/cover/2214700.jpg", "Обложка")</f>
        <v>Обложка</v>
      </c>
      <c r="V178" s="24" t="str">
        <f>HYPERLINK("https://znanium.ru/catalog/product/2214700", "Ознакомиться")</f>
        <v>Ознакомиться</v>
      </c>
      <c r="W178" s="8"/>
      <c r="X178" s="6"/>
      <c r="Y178" s="6"/>
      <c r="Z178" s="6"/>
      <c r="AA178" s="6" t="s">
        <v>91</v>
      </c>
      <c r="AB178" s="8"/>
    </row>
    <row r="179" spans="1:28" s="4" customFormat="1" ht="42" customHeight="1">
      <c r="A179" s="5">
        <v>0</v>
      </c>
      <c r="B179" s="6" t="s">
        <v>1190</v>
      </c>
      <c r="C179" s="7">
        <v>1272</v>
      </c>
      <c r="D179" s="8" t="s">
        <v>1191</v>
      </c>
      <c r="E179" s="8" t="s">
        <v>1192</v>
      </c>
      <c r="F179" s="8" t="s">
        <v>627</v>
      </c>
      <c r="G179" s="6" t="s">
        <v>62</v>
      </c>
      <c r="H179" s="6" t="s">
        <v>39</v>
      </c>
      <c r="I179" s="8" t="s">
        <v>629</v>
      </c>
      <c r="J179" s="9">
        <v>1</v>
      </c>
      <c r="K179" s="9">
        <v>287</v>
      </c>
      <c r="L179" s="9">
        <v>2022</v>
      </c>
      <c r="M179" s="8" t="s">
        <v>1193</v>
      </c>
      <c r="N179" s="8" t="s">
        <v>177</v>
      </c>
      <c r="O179" s="8" t="s">
        <v>190</v>
      </c>
      <c r="P179" s="6" t="s">
        <v>1165</v>
      </c>
      <c r="Q179" s="8" t="s">
        <v>45</v>
      </c>
      <c r="R179" s="10" t="s">
        <v>1194</v>
      </c>
      <c r="S179" s="11"/>
      <c r="T179" s="6"/>
      <c r="U179" s="24" t="str">
        <f>HYPERLINK("https://media.infra-m.ru/1861/1861121/cover/1861121.jpg", "Обложка")</f>
        <v>Обложка</v>
      </c>
      <c r="V179" s="24" t="str">
        <f>HYPERLINK("https://znanium.ru/catalog/product/2164116", "Ознакомиться")</f>
        <v>Ознакомиться</v>
      </c>
      <c r="W179" s="8"/>
      <c r="X179" s="6"/>
      <c r="Y179" s="6"/>
      <c r="Z179" s="6"/>
      <c r="AA179" s="6" t="s">
        <v>208</v>
      </c>
      <c r="AB179" s="8"/>
    </row>
    <row r="180" spans="1:28" s="4" customFormat="1" ht="42" customHeight="1">
      <c r="A180" s="5">
        <v>0</v>
      </c>
      <c r="B180" s="6" t="s">
        <v>1195</v>
      </c>
      <c r="C180" s="7">
        <v>1668</v>
      </c>
      <c r="D180" s="8" t="s">
        <v>1196</v>
      </c>
      <c r="E180" s="8" t="s">
        <v>1197</v>
      </c>
      <c r="F180" s="8"/>
      <c r="G180" s="6" t="s">
        <v>62</v>
      </c>
      <c r="H180" s="6" t="s">
        <v>39</v>
      </c>
      <c r="I180" s="8" t="s">
        <v>629</v>
      </c>
      <c r="J180" s="9">
        <v>1</v>
      </c>
      <c r="K180" s="9">
        <v>264</v>
      </c>
      <c r="L180" s="9">
        <v>2025</v>
      </c>
      <c r="M180" s="8" t="s">
        <v>1198</v>
      </c>
      <c r="N180" s="8" t="s">
        <v>177</v>
      </c>
      <c r="O180" s="8" t="s">
        <v>190</v>
      </c>
      <c r="P180" s="6" t="s">
        <v>1165</v>
      </c>
      <c r="Q180" s="8" t="s">
        <v>45</v>
      </c>
      <c r="R180" s="10" t="s">
        <v>1194</v>
      </c>
      <c r="S180" s="11"/>
      <c r="T180" s="6"/>
      <c r="U180" s="24" t="str">
        <f>HYPERLINK("https://media.infra-m.ru/2164/2164116/cover/2164116.jpg", "Обложка")</f>
        <v>Обложка</v>
      </c>
      <c r="V180" s="24" t="str">
        <f>HYPERLINK("https://znanium.ru/catalog/product/2164116", "Ознакомиться")</f>
        <v>Ознакомиться</v>
      </c>
      <c r="W180" s="8"/>
      <c r="X180" s="6" t="s">
        <v>1044</v>
      </c>
      <c r="Y180" s="6"/>
      <c r="Z180" s="6"/>
      <c r="AA180" s="6" t="s">
        <v>203</v>
      </c>
      <c r="AB180" s="8"/>
    </row>
    <row r="181" spans="1:28" s="4" customFormat="1" ht="42" customHeight="1">
      <c r="A181" s="5">
        <v>0</v>
      </c>
      <c r="B181" s="6" t="s">
        <v>1199</v>
      </c>
      <c r="C181" s="7">
        <v>1080</v>
      </c>
      <c r="D181" s="8" t="s">
        <v>1200</v>
      </c>
      <c r="E181" s="8" t="s">
        <v>1201</v>
      </c>
      <c r="F181" s="8" t="s">
        <v>627</v>
      </c>
      <c r="G181" s="6" t="s">
        <v>62</v>
      </c>
      <c r="H181" s="6" t="s">
        <v>39</v>
      </c>
      <c r="I181" s="8"/>
      <c r="J181" s="9">
        <v>1</v>
      </c>
      <c r="K181" s="9">
        <v>271</v>
      </c>
      <c r="L181" s="9">
        <v>2019</v>
      </c>
      <c r="M181" s="8" t="s">
        <v>1202</v>
      </c>
      <c r="N181" s="8" t="s">
        <v>177</v>
      </c>
      <c r="O181" s="8" t="s">
        <v>190</v>
      </c>
      <c r="P181" s="6" t="s">
        <v>1165</v>
      </c>
      <c r="Q181" s="8" t="s">
        <v>45</v>
      </c>
      <c r="R181" s="10" t="s">
        <v>1194</v>
      </c>
      <c r="S181" s="11"/>
      <c r="T181" s="6"/>
      <c r="U181" s="24" t="str">
        <f>HYPERLINK("https://media.infra-m.ru/1007/1007983/cover/1007983.jpg", "Обложка")</f>
        <v>Обложка</v>
      </c>
      <c r="V181" s="24" t="str">
        <f>HYPERLINK("https://znanium.ru/catalog/product/2164116", "Ознакомиться")</f>
        <v>Ознакомиться</v>
      </c>
      <c r="W181" s="8"/>
      <c r="X181" s="6"/>
      <c r="Y181" s="6"/>
      <c r="Z181" s="6"/>
      <c r="AA181" s="6" t="s">
        <v>213</v>
      </c>
      <c r="AB181" s="8"/>
    </row>
    <row r="182" spans="1:28" s="4" customFormat="1" ht="51.95" customHeight="1">
      <c r="A182" s="5">
        <v>0</v>
      </c>
      <c r="B182" s="6" t="s">
        <v>1203</v>
      </c>
      <c r="C182" s="7">
        <v>1008</v>
      </c>
      <c r="D182" s="8" t="s">
        <v>1204</v>
      </c>
      <c r="E182" s="8" t="s">
        <v>1205</v>
      </c>
      <c r="F182" s="8" t="s">
        <v>1206</v>
      </c>
      <c r="G182" s="6" t="s">
        <v>38</v>
      </c>
      <c r="H182" s="6" t="s">
        <v>39</v>
      </c>
      <c r="I182" s="8" t="s">
        <v>40</v>
      </c>
      <c r="J182" s="9">
        <v>1</v>
      </c>
      <c r="K182" s="9">
        <v>160</v>
      </c>
      <c r="L182" s="9">
        <v>2025</v>
      </c>
      <c r="M182" s="8" t="s">
        <v>1207</v>
      </c>
      <c r="N182" s="8" t="s">
        <v>42</v>
      </c>
      <c r="O182" s="8" t="s">
        <v>72</v>
      </c>
      <c r="P182" s="6" t="s">
        <v>44</v>
      </c>
      <c r="Q182" s="8" t="s">
        <v>45</v>
      </c>
      <c r="R182" s="10" t="s">
        <v>1208</v>
      </c>
      <c r="S182" s="11"/>
      <c r="T182" s="6"/>
      <c r="U182" s="24" t="str">
        <f>HYPERLINK("https://media.infra-m.ru/2202/2202776/cover/2202776.jpg", "Обложка")</f>
        <v>Обложка</v>
      </c>
      <c r="V182" s="24" t="str">
        <f>HYPERLINK("https://znanium.ru/catalog/product/2202776", "Ознакомиться")</f>
        <v>Ознакомиться</v>
      </c>
      <c r="W182" s="8" t="s">
        <v>760</v>
      </c>
      <c r="X182" s="6"/>
      <c r="Y182" s="6"/>
      <c r="Z182" s="6"/>
      <c r="AA182" s="6" t="s">
        <v>273</v>
      </c>
      <c r="AB182" s="8"/>
    </row>
    <row r="183" spans="1:28" s="4" customFormat="1" ht="51.95" customHeight="1">
      <c r="A183" s="5">
        <v>0</v>
      </c>
      <c r="B183" s="6" t="s">
        <v>1209</v>
      </c>
      <c r="C183" s="13">
        <v>792</v>
      </c>
      <c r="D183" s="8" t="s">
        <v>1210</v>
      </c>
      <c r="E183" s="8" t="s">
        <v>1211</v>
      </c>
      <c r="F183" s="8" t="s">
        <v>1212</v>
      </c>
      <c r="G183" s="6" t="s">
        <v>38</v>
      </c>
      <c r="H183" s="6" t="s">
        <v>39</v>
      </c>
      <c r="I183" s="8" t="s">
        <v>40</v>
      </c>
      <c r="J183" s="9">
        <v>1</v>
      </c>
      <c r="K183" s="9">
        <v>174</v>
      </c>
      <c r="L183" s="9">
        <v>2022</v>
      </c>
      <c r="M183" s="8" t="s">
        <v>1213</v>
      </c>
      <c r="N183" s="8" t="s">
        <v>42</v>
      </c>
      <c r="O183" s="8" t="s">
        <v>43</v>
      </c>
      <c r="P183" s="6" t="s">
        <v>44</v>
      </c>
      <c r="Q183" s="8" t="s">
        <v>45</v>
      </c>
      <c r="R183" s="10" t="s">
        <v>1214</v>
      </c>
      <c r="S183" s="11"/>
      <c r="T183" s="6"/>
      <c r="U183" s="24" t="str">
        <f>HYPERLINK("https://media.infra-m.ru/1735/1735161/cover/1735161.jpg", "Обложка")</f>
        <v>Обложка</v>
      </c>
      <c r="V183" s="24" t="str">
        <f>HYPERLINK("https://znanium.ru/catalog/product/1003238", "Ознакомиться")</f>
        <v>Ознакомиться</v>
      </c>
      <c r="W183" s="8" t="s">
        <v>760</v>
      </c>
      <c r="X183" s="6"/>
      <c r="Y183" s="6"/>
      <c r="Z183" s="6"/>
      <c r="AA183" s="6" t="s">
        <v>138</v>
      </c>
      <c r="AB183" s="8"/>
    </row>
    <row r="184" spans="1:28" s="4" customFormat="1" ht="42" customHeight="1">
      <c r="A184" s="5">
        <v>0</v>
      </c>
      <c r="B184" s="6" t="s">
        <v>1215</v>
      </c>
      <c r="C184" s="7">
        <v>1204.8</v>
      </c>
      <c r="D184" s="8" t="s">
        <v>1216</v>
      </c>
      <c r="E184" s="8" t="s">
        <v>1217</v>
      </c>
      <c r="F184" s="8" t="s">
        <v>291</v>
      </c>
      <c r="G184" s="6" t="s">
        <v>38</v>
      </c>
      <c r="H184" s="6" t="s">
        <v>39</v>
      </c>
      <c r="I184" s="8" t="s">
        <v>40</v>
      </c>
      <c r="J184" s="9">
        <v>1</v>
      </c>
      <c r="K184" s="9">
        <v>219</v>
      </c>
      <c r="L184" s="9">
        <v>2024</v>
      </c>
      <c r="M184" s="8" t="s">
        <v>1218</v>
      </c>
      <c r="N184" s="8" t="s">
        <v>42</v>
      </c>
      <c r="O184" s="8" t="s">
        <v>72</v>
      </c>
      <c r="P184" s="6" t="s">
        <v>44</v>
      </c>
      <c r="Q184" s="8" t="s">
        <v>45</v>
      </c>
      <c r="R184" s="10" t="s">
        <v>1027</v>
      </c>
      <c r="S184" s="11"/>
      <c r="T184" s="6"/>
      <c r="U184" s="24" t="str">
        <f>HYPERLINK("https://media.infra-m.ru/2108/2108511/cover/2108511.jpg", "Обложка")</f>
        <v>Обложка</v>
      </c>
      <c r="V184" s="24" t="str">
        <f>HYPERLINK("https://znanium.ru/catalog/product/2108511", "Ознакомиться")</f>
        <v>Ознакомиться</v>
      </c>
      <c r="W184" s="8" t="s">
        <v>293</v>
      </c>
      <c r="X184" s="6"/>
      <c r="Y184" s="6"/>
      <c r="Z184" s="6"/>
      <c r="AA184" s="6" t="s">
        <v>83</v>
      </c>
      <c r="AB184" s="8"/>
    </row>
    <row r="185" spans="1:28" s="4" customFormat="1" ht="42" customHeight="1">
      <c r="A185" s="5">
        <v>0</v>
      </c>
      <c r="B185" s="6" t="s">
        <v>1219</v>
      </c>
      <c r="C185" s="7">
        <v>1504.8</v>
      </c>
      <c r="D185" s="8" t="s">
        <v>1220</v>
      </c>
      <c r="E185" s="8" t="s">
        <v>1221</v>
      </c>
      <c r="F185" s="8" t="s">
        <v>1222</v>
      </c>
      <c r="G185" s="6" t="s">
        <v>62</v>
      </c>
      <c r="H185" s="6" t="s">
        <v>167</v>
      </c>
      <c r="I185" s="8"/>
      <c r="J185" s="9">
        <v>1</v>
      </c>
      <c r="K185" s="9">
        <v>240</v>
      </c>
      <c r="L185" s="9">
        <v>2025</v>
      </c>
      <c r="M185" s="8" t="s">
        <v>1223</v>
      </c>
      <c r="N185" s="8" t="s">
        <v>42</v>
      </c>
      <c r="O185" s="8" t="s">
        <v>72</v>
      </c>
      <c r="P185" s="6" t="s">
        <v>44</v>
      </c>
      <c r="Q185" s="8" t="s">
        <v>45</v>
      </c>
      <c r="R185" s="10" t="s">
        <v>1224</v>
      </c>
      <c r="S185" s="11"/>
      <c r="T185" s="6"/>
      <c r="U185" s="24" t="str">
        <f>HYPERLINK("https://media.infra-m.ru/2192/2192552/cover/2192552.jpg", "Обложка")</f>
        <v>Обложка</v>
      </c>
      <c r="V185" s="24" t="str">
        <f>HYPERLINK("https://znanium.ru/catalog/product/2124359", "Ознакомиться")</f>
        <v>Ознакомиться</v>
      </c>
      <c r="W185" s="8" t="s">
        <v>202</v>
      </c>
      <c r="X185" s="6"/>
      <c r="Y185" s="6"/>
      <c r="Z185" s="6"/>
      <c r="AA185" s="6" t="s">
        <v>213</v>
      </c>
      <c r="AB185" s="8"/>
    </row>
    <row r="186" spans="1:28" s="4" customFormat="1" ht="42" customHeight="1">
      <c r="A186" s="5">
        <v>0</v>
      </c>
      <c r="B186" s="6" t="s">
        <v>1225</v>
      </c>
      <c r="C186" s="7">
        <v>2752.8</v>
      </c>
      <c r="D186" s="8" t="s">
        <v>1226</v>
      </c>
      <c r="E186" s="8" t="s">
        <v>1227</v>
      </c>
      <c r="F186" s="8" t="s">
        <v>1228</v>
      </c>
      <c r="G186" s="6" t="s">
        <v>96</v>
      </c>
      <c r="H186" s="6" t="s">
        <v>466</v>
      </c>
      <c r="I186" s="8"/>
      <c r="J186" s="9">
        <v>1</v>
      </c>
      <c r="K186" s="9">
        <v>576</v>
      </c>
      <c r="L186" s="9">
        <v>2024</v>
      </c>
      <c r="M186" s="8" t="s">
        <v>1229</v>
      </c>
      <c r="N186" s="8" t="s">
        <v>119</v>
      </c>
      <c r="O186" s="8" t="s">
        <v>381</v>
      </c>
      <c r="P186" s="6" t="s">
        <v>425</v>
      </c>
      <c r="Q186" s="8" t="s">
        <v>45</v>
      </c>
      <c r="R186" s="10" t="s">
        <v>1230</v>
      </c>
      <c r="S186" s="11"/>
      <c r="T186" s="6"/>
      <c r="U186" s="24" t="str">
        <f>HYPERLINK("https://media.infra-m.ru/2148/2148498/cover/2148498.jpg", "Обложка")</f>
        <v>Обложка</v>
      </c>
      <c r="V186" s="24" t="str">
        <f>HYPERLINK("https://znanium.ru/catalog/product/1842564", "Ознакомиться")</f>
        <v>Ознакомиться</v>
      </c>
      <c r="W186" s="8" t="s">
        <v>1128</v>
      </c>
      <c r="X186" s="6"/>
      <c r="Y186" s="6"/>
      <c r="Z186" s="6"/>
      <c r="AA186" s="6" t="s">
        <v>977</v>
      </c>
      <c r="AB186" s="8"/>
    </row>
    <row r="187" spans="1:28" s="4" customFormat="1" ht="42" customHeight="1">
      <c r="A187" s="5">
        <v>0</v>
      </c>
      <c r="B187" s="6" t="s">
        <v>1231</v>
      </c>
      <c r="C187" s="7">
        <v>1392</v>
      </c>
      <c r="D187" s="8" t="s">
        <v>1232</v>
      </c>
      <c r="E187" s="8" t="s">
        <v>1233</v>
      </c>
      <c r="F187" s="8" t="s">
        <v>1234</v>
      </c>
      <c r="G187" s="6" t="s">
        <v>62</v>
      </c>
      <c r="H187" s="6" t="s">
        <v>39</v>
      </c>
      <c r="I187" s="8" t="s">
        <v>40</v>
      </c>
      <c r="J187" s="9">
        <v>1</v>
      </c>
      <c r="K187" s="9">
        <v>218</v>
      </c>
      <c r="L187" s="9">
        <v>2025</v>
      </c>
      <c r="M187" s="8" t="s">
        <v>1235</v>
      </c>
      <c r="N187" s="8" t="s">
        <v>42</v>
      </c>
      <c r="O187" s="8" t="s">
        <v>908</v>
      </c>
      <c r="P187" s="6" t="s">
        <v>44</v>
      </c>
      <c r="Q187" s="8" t="s">
        <v>45</v>
      </c>
      <c r="R187" s="10" t="s">
        <v>1236</v>
      </c>
      <c r="S187" s="11"/>
      <c r="T187" s="6"/>
      <c r="U187" s="24" t="str">
        <f>HYPERLINK("https://media.infra-m.ru/2210/2210891/cover/2210891.jpg", "Обложка")</f>
        <v>Обложка</v>
      </c>
      <c r="V187" s="24" t="str">
        <f>HYPERLINK("https://znanium.ru/catalog/product/2210891", "Ознакомиться")</f>
        <v>Ознакомиться</v>
      </c>
      <c r="W187" s="8" t="s">
        <v>1237</v>
      </c>
      <c r="X187" s="6"/>
      <c r="Y187" s="6"/>
      <c r="Z187" s="6"/>
      <c r="AA187" s="6" t="s">
        <v>91</v>
      </c>
      <c r="AB187" s="8"/>
    </row>
    <row r="188" spans="1:28" s="4" customFormat="1" ht="51.95" customHeight="1">
      <c r="A188" s="5">
        <v>0</v>
      </c>
      <c r="B188" s="6" t="s">
        <v>1238</v>
      </c>
      <c r="C188" s="7">
        <v>2153.9</v>
      </c>
      <c r="D188" s="8" t="s">
        <v>1239</v>
      </c>
      <c r="E188" s="8" t="s">
        <v>1240</v>
      </c>
      <c r="F188" s="8" t="s">
        <v>1241</v>
      </c>
      <c r="G188" s="6" t="s">
        <v>96</v>
      </c>
      <c r="H188" s="6" t="s">
        <v>466</v>
      </c>
      <c r="I188" s="8"/>
      <c r="J188" s="9">
        <v>1</v>
      </c>
      <c r="K188" s="9">
        <v>399</v>
      </c>
      <c r="L188" s="9">
        <v>2023</v>
      </c>
      <c r="M188" s="8" t="s">
        <v>1242</v>
      </c>
      <c r="N188" s="8" t="s">
        <v>144</v>
      </c>
      <c r="O188" s="8" t="s">
        <v>145</v>
      </c>
      <c r="P188" s="6" t="s">
        <v>44</v>
      </c>
      <c r="Q188" s="8" t="s">
        <v>45</v>
      </c>
      <c r="R188" s="10" t="s">
        <v>1243</v>
      </c>
      <c r="S188" s="11"/>
      <c r="T188" s="6"/>
      <c r="U188" s="24" t="str">
        <f>HYPERLINK("https://media.infra-m.ru/1895/1895704/cover/1895704.jpg", "Обложка")</f>
        <v>Обложка</v>
      </c>
      <c r="V188" s="24" t="str">
        <f>HYPERLINK("https://znanium.ru/catalog/product/1048491", "Ознакомиться")</f>
        <v>Ознакомиться</v>
      </c>
      <c r="W188" s="8" t="s">
        <v>1244</v>
      </c>
      <c r="X188" s="6"/>
      <c r="Y188" s="6"/>
      <c r="Z188" s="6"/>
      <c r="AA188" s="6" t="s">
        <v>157</v>
      </c>
      <c r="AB188" s="8"/>
    </row>
    <row r="189" spans="1:28" s="4" customFormat="1" ht="51.95" customHeight="1">
      <c r="A189" s="5">
        <v>0</v>
      </c>
      <c r="B189" s="6" t="s">
        <v>1245</v>
      </c>
      <c r="C189" s="7">
        <v>1096.8</v>
      </c>
      <c r="D189" s="8" t="s">
        <v>1246</v>
      </c>
      <c r="E189" s="8" t="s">
        <v>1247</v>
      </c>
      <c r="F189" s="8" t="s">
        <v>1248</v>
      </c>
      <c r="G189" s="6" t="s">
        <v>38</v>
      </c>
      <c r="H189" s="6" t="s">
        <v>39</v>
      </c>
      <c r="I189" s="8" t="s">
        <v>40</v>
      </c>
      <c r="J189" s="9">
        <v>1</v>
      </c>
      <c r="K189" s="9">
        <v>193</v>
      </c>
      <c r="L189" s="9">
        <v>2024</v>
      </c>
      <c r="M189" s="8" t="s">
        <v>1249</v>
      </c>
      <c r="N189" s="8" t="s">
        <v>144</v>
      </c>
      <c r="O189" s="8" t="s">
        <v>145</v>
      </c>
      <c r="P189" s="6" t="s">
        <v>44</v>
      </c>
      <c r="Q189" s="8" t="s">
        <v>45</v>
      </c>
      <c r="R189" s="10" t="s">
        <v>656</v>
      </c>
      <c r="S189" s="11"/>
      <c r="T189" s="6"/>
      <c r="U189" s="24" t="str">
        <f>HYPERLINK("https://media.infra-m.ru/2136/2136041/cover/2136041.jpg", "Обложка")</f>
        <v>Обложка</v>
      </c>
      <c r="V189" s="24" t="str">
        <f>HYPERLINK("https://znanium.ru/catalog/product/1938025", "Ознакомиться")</f>
        <v>Ознакомиться</v>
      </c>
      <c r="W189" s="8" t="s">
        <v>1250</v>
      </c>
      <c r="X189" s="6"/>
      <c r="Y189" s="6"/>
      <c r="Z189" s="6"/>
      <c r="AA189" s="6" t="s">
        <v>391</v>
      </c>
      <c r="AB189" s="8"/>
    </row>
    <row r="190" spans="1:28" s="4" customFormat="1" ht="42" customHeight="1">
      <c r="A190" s="5">
        <v>0</v>
      </c>
      <c r="B190" s="6" t="s">
        <v>1251</v>
      </c>
      <c r="C190" s="13">
        <v>864</v>
      </c>
      <c r="D190" s="8" t="s">
        <v>1252</v>
      </c>
      <c r="E190" s="8" t="s">
        <v>1253</v>
      </c>
      <c r="F190" s="8" t="s">
        <v>1254</v>
      </c>
      <c r="G190" s="6" t="s">
        <v>38</v>
      </c>
      <c r="H190" s="6" t="s">
        <v>39</v>
      </c>
      <c r="I190" s="8" t="s">
        <v>1255</v>
      </c>
      <c r="J190" s="9">
        <v>1</v>
      </c>
      <c r="K190" s="9">
        <v>144</v>
      </c>
      <c r="L190" s="9">
        <v>2025</v>
      </c>
      <c r="M190" s="8" t="s">
        <v>1256</v>
      </c>
      <c r="N190" s="8" t="s">
        <v>42</v>
      </c>
      <c r="O190" s="8" t="s">
        <v>72</v>
      </c>
      <c r="P190" s="6" t="s">
        <v>199</v>
      </c>
      <c r="Q190" s="8" t="s">
        <v>200</v>
      </c>
      <c r="R190" s="10" t="s">
        <v>1257</v>
      </c>
      <c r="S190" s="11"/>
      <c r="T190" s="6"/>
      <c r="U190" s="24" t="str">
        <f>HYPERLINK("https://media.infra-m.ru/2168/2168380/cover/2168380.jpg", "Обложка")</f>
        <v>Обложка</v>
      </c>
      <c r="V190" s="24" t="str">
        <f>HYPERLINK("https://znanium.ru/catalog/product/2168380", "Ознакомиться")</f>
        <v>Ознакомиться</v>
      </c>
      <c r="W190" s="8" t="s">
        <v>1258</v>
      </c>
      <c r="X190" s="6"/>
      <c r="Y190" s="6"/>
      <c r="Z190" s="6"/>
      <c r="AA190" s="6" t="s">
        <v>83</v>
      </c>
      <c r="AB190" s="8"/>
    </row>
    <row r="191" spans="1:28" s="4" customFormat="1" ht="51.95" customHeight="1">
      <c r="A191" s="5">
        <v>0</v>
      </c>
      <c r="B191" s="6" t="s">
        <v>1259</v>
      </c>
      <c r="C191" s="13">
        <v>461.9</v>
      </c>
      <c r="D191" s="8" t="s">
        <v>1260</v>
      </c>
      <c r="E191" s="8" t="s">
        <v>1261</v>
      </c>
      <c r="F191" s="8" t="s">
        <v>1262</v>
      </c>
      <c r="G191" s="6" t="s">
        <v>38</v>
      </c>
      <c r="H191" s="6" t="s">
        <v>39</v>
      </c>
      <c r="I191" s="8" t="s">
        <v>40</v>
      </c>
      <c r="J191" s="9">
        <v>1</v>
      </c>
      <c r="K191" s="9">
        <v>110</v>
      </c>
      <c r="L191" s="9">
        <v>2020</v>
      </c>
      <c r="M191" s="8" t="s">
        <v>1263</v>
      </c>
      <c r="N191" s="8" t="s">
        <v>144</v>
      </c>
      <c r="O191" s="8" t="s">
        <v>145</v>
      </c>
      <c r="P191" s="6" t="s">
        <v>44</v>
      </c>
      <c r="Q191" s="8" t="s">
        <v>45</v>
      </c>
      <c r="R191" s="10" t="s">
        <v>1264</v>
      </c>
      <c r="S191" s="11"/>
      <c r="T191" s="6"/>
      <c r="U191" s="24" t="str">
        <f>HYPERLINK("https://media.infra-m.ru/1047/1047112/cover/1047112.jpg", "Обложка")</f>
        <v>Обложка</v>
      </c>
      <c r="V191" s="24" t="str">
        <f>HYPERLINK("https://znanium.ru/catalog/product/950370", "Ознакомиться")</f>
        <v>Ознакомиться</v>
      </c>
      <c r="W191" s="8" t="s">
        <v>864</v>
      </c>
      <c r="X191" s="6"/>
      <c r="Y191" s="6"/>
      <c r="Z191" s="6"/>
      <c r="AA191" s="6" t="s">
        <v>213</v>
      </c>
      <c r="AB191" s="8"/>
    </row>
    <row r="192" spans="1:28" s="4" customFormat="1" ht="42" customHeight="1">
      <c r="A192" s="5">
        <v>0</v>
      </c>
      <c r="B192" s="6" t="s">
        <v>1265</v>
      </c>
      <c r="C192" s="7">
        <v>2628</v>
      </c>
      <c r="D192" s="8" t="s">
        <v>1266</v>
      </c>
      <c r="E192" s="8" t="s">
        <v>1267</v>
      </c>
      <c r="F192" s="8" t="s">
        <v>1268</v>
      </c>
      <c r="G192" s="6" t="s">
        <v>96</v>
      </c>
      <c r="H192" s="6" t="s">
        <v>39</v>
      </c>
      <c r="I192" s="8" t="s">
        <v>40</v>
      </c>
      <c r="J192" s="9">
        <v>1</v>
      </c>
      <c r="K192" s="9">
        <v>612</v>
      </c>
      <c r="L192" s="9">
        <v>2022</v>
      </c>
      <c r="M192" s="8" t="s">
        <v>1269</v>
      </c>
      <c r="N192" s="8" t="s">
        <v>144</v>
      </c>
      <c r="O192" s="8" t="s">
        <v>145</v>
      </c>
      <c r="P192" s="6" t="s">
        <v>44</v>
      </c>
      <c r="Q192" s="8" t="s">
        <v>45</v>
      </c>
      <c r="R192" s="10" t="s">
        <v>1270</v>
      </c>
      <c r="S192" s="11"/>
      <c r="T192" s="6"/>
      <c r="U192" s="24" t="str">
        <f>HYPERLINK("https://media.infra-m.ru/1859/1859603/cover/1859603.jpg", "Обложка")</f>
        <v>Обложка</v>
      </c>
      <c r="V192" s="24" t="str">
        <f>HYPERLINK("https://znanium.ru/catalog/product/1859603", "Ознакомиться")</f>
        <v>Ознакомиться</v>
      </c>
      <c r="W192" s="8" t="s">
        <v>1099</v>
      </c>
      <c r="X192" s="6"/>
      <c r="Y192" s="6"/>
      <c r="Z192" s="6"/>
      <c r="AA192" s="6" t="s">
        <v>83</v>
      </c>
      <c r="AB192" s="8"/>
    </row>
    <row r="193" spans="1:28" s="4" customFormat="1" ht="51.95" customHeight="1">
      <c r="A193" s="5">
        <v>0</v>
      </c>
      <c r="B193" s="6" t="s">
        <v>1271</v>
      </c>
      <c r="C193" s="7">
        <v>1012.8</v>
      </c>
      <c r="D193" s="8" t="s">
        <v>1272</v>
      </c>
      <c r="E193" s="8" t="s">
        <v>1273</v>
      </c>
      <c r="F193" s="8" t="s">
        <v>1274</v>
      </c>
      <c r="G193" s="6" t="s">
        <v>38</v>
      </c>
      <c r="H193" s="6" t="s">
        <v>39</v>
      </c>
      <c r="I193" s="8" t="s">
        <v>40</v>
      </c>
      <c r="J193" s="9">
        <v>1</v>
      </c>
      <c r="K193" s="9">
        <v>176</v>
      </c>
      <c r="L193" s="9">
        <v>2024</v>
      </c>
      <c r="M193" s="8" t="s">
        <v>1275</v>
      </c>
      <c r="N193" s="8" t="s">
        <v>42</v>
      </c>
      <c r="O193" s="8" t="s">
        <v>908</v>
      </c>
      <c r="P193" s="6" t="s">
        <v>44</v>
      </c>
      <c r="Q193" s="8" t="s">
        <v>45</v>
      </c>
      <c r="R193" s="10" t="s">
        <v>1276</v>
      </c>
      <c r="S193" s="11"/>
      <c r="T193" s="6"/>
      <c r="U193" s="24" t="str">
        <f>HYPERLINK("https://media.infra-m.ru/2108/2108472/cover/2108472.jpg", "Обложка")</f>
        <v>Обложка</v>
      </c>
      <c r="V193" s="24" t="str">
        <f>HYPERLINK("https://znanium.ru/catalog/product/2108472", "Ознакомиться")</f>
        <v>Ознакомиться</v>
      </c>
      <c r="W193" s="8" t="s">
        <v>1277</v>
      </c>
      <c r="X193" s="6"/>
      <c r="Y193" s="6"/>
      <c r="Z193" s="6"/>
      <c r="AA193" s="6" t="s">
        <v>83</v>
      </c>
      <c r="AB193" s="8"/>
    </row>
    <row r="194" spans="1:28" s="4" customFormat="1" ht="44.1" customHeight="1">
      <c r="A194" s="5">
        <v>0</v>
      </c>
      <c r="B194" s="6" t="s">
        <v>1278</v>
      </c>
      <c r="C194" s="7">
        <v>2040</v>
      </c>
      <c r="D194" s="8" t="s">
        <v>1279</v>
      </c>
      <c r="E194" s="8" t="s">
        <v>1280</v>
      </c>
      <c r="F194" s="8" t="s">
        <v>1281</v>
      </c>
      <c r="G194" s="6" t="s">
        <v>62</v>
      </c>
      <c r="H194" s="6" t="s">
        <v>39</v>
      </c>
      <c r="I194" s="8" t="s">
        <v>421</v>
      </c>
      <c r="J194" s="9">
        <v>1</v>
      </c>
      <c r="K194" s="9">
        <v>320</v>
      </c>
      <c r="L194" s="9">
        <v>2026</v>
      </c>
      <c r="M194" s="8" t="s">
        <v>1282</v>
      </c>
      <c r="N194" s="8" t="s">
        <v>119</v>
      </c>
      <c r="O194" s="8" t="s">
        <v>458</v>
      </c>
      <c r="P194" s="6" t="s">
        <v>425</v>
      </c>
      <c r="Q194" s="8" t="s">
        <v>180</v>
      </c>
      <c r="R194" s="10" t="s">
        <v>1283</v>
      </c>
      <c r="S194" s="11"/>
      <c r="T194" s="6"/>
      <c r="U194" s="24" t="str">
        <f>HYPERLINK("https://media.infra-m.ru/2221/2221541/cover/2221541.jpg", "Обложка")</f>
        <v>Обложка</v>
      </c>
      <c r="V194" s="24" t="str">
        <f>HYPERLINK("https://znanium.ru/catalog/product/2221541", "Ознакомиться")</f>
        <v>Ознакомиться</v>
      </c>
      <c r="W194" s="8" t="s">
        <v>1284</v>
      </c>
      <c r="X194" s="6"/>
      <c r="Y194" s="6"/>
      <c r="Z194" s="6"/>
      <c r="AA194" s="6" t="s">
        <v>360</v>
      </c>
      <c r="AB194" s="8"/>
    </row>
    <row r="195" spans="1:28" s="4" customFormat="1" ht="44.1" customHeight="1">
      <c r="A195" s="5">
        <v>0</v>
      </c>
      <c r="B195" s="6" t="s">
        <v>1285</v>
      </c>
      <c r="C195" s="7">
        <v>2368.8000000000002</v>
      </c>
      <c r="D195" s="8" t="s">
        <v>1286</v>
      </c>
      <c r="E195" s="8" t="s">
        <v>1287</v>
      </c>
      <c r="F195" s="8" t="s">
        <v>1288</v>
      </c>
      <c r="G195" s="6" t="s">
        <v>96</v>
      </c>
      <c r="H195" s="6" t="s">
        <v>39</v>
      </c>
      <c r="I195" s="8" t="s">
        <v>40</v>
      </c>
      <c r="J195" s="9">
        <v>1</v>
      </c>
      <c r="K195" s="9">
        <v>380</v>
      </c>
      <c r="L195" s="9">
        <v>2026</v>
      </c>
      <c r="M195" s="8" t="s">
        <v>1289</v>
      </c>
      <c r="N195" s="8" t="s">
        <v>144</v>
      </c>
      <c r="O195" s="8" t="s">
        <v>145</v>
      </c>
      <c r="P195" s="6" t="s">
        <v>44</v>
      </c>
      <c r="Q195" s="8" t="s">
        <v>45</v>
      </c>
      <c r="R195" s="10" t="s">
        <v>969</v>
      </c>
      <c r="S195" s="11"/>
      <c r="T195" s="6"/>
      <c r="U195" s="24" t="str">
        <f>HYPERLINK("https://media.infra-m.ru/2222/2222311/cover/2222311.jpg", "Обложка")</f>
        <v>Обложка</v>
      </c>
      <c r="V195" s="24" t="str">
        <f>HYPERLINK("https://znanium.ru/catalog/product/2116929", "Ознакомиться")</f>
        <v>Ознакомиться</v>
      </c>
      <c r="W195" s="8" t="s">
        <v>1290</v>
      </c>
      <c r="X195" s="6"/>
      <c r="Y195" s="6"/>
      <c r="Z195" s="6"/>
      <c r="AA195" s="6" t="s">
        <v>391</v>
      </c>
      <c r="AB195" s="8"/>
    </row>
    <row r="196" spans="1:28" s="4" customFormat="1" ht="51.95" customHeight="1">
      <c r="A196" s="5">
        <v>0</v>
      </c>
      <c r="B196" s="6" t="s">
        <v>1291</v>
      </c>
      <c r="C196" s="7">
        <v>1488</v>
      </c>
      <c r="D196" s="8" t="s">
        <v>1292</v>
      </c>
      <c r="E196" s="8" t="s">
        <v>1293</v>
      </c>
      <c r="F196" s="8" t="s">
        <v>1294</v>
      </c>
      <c r="G196" s="6" t="s">
        <v>62</v>
      </c>
      <c r="H196" s="6" t="s">
        <v>39</v>
      </c>
      <c r="I196" s="8" t="s">
        <v>1126</v>
      </c>
      <c r="J196" s="9">
        <v>1</v>
      </c>
      <c r="K196" s="9">
        <v>264</v>
      </c>
      <c r="L196" s="9">
        <v>2024</v>
      </c>
      <c r="M196" s="8" t="s">
        <v>1295</v>
      </c>
      <c r="N196" s="8" t="s">
        <v>144</v>
      </c>
      <c r="O196" s="8" t="s">
        <v>145</v>
      </c>
      <c r="P196" s="6" t="s">
        <v>44</v>
      </c>
      <c r="Q196" s="8" t="s">
        <v>45</v>
      </c>
      <c r="R196" s="10" t="s">
        <v>1296</v>
      </c>
      <c r="S196" s="11"/>
      <c r="T196" s="6"/>
      <c r="U196" s="24" t="str">
        <f>HYPERLINK("https://media.infra-m.ru/2144/2144887/cover/2144887.jpg", "Обложка")</f>
        <v>Обложка</v>
      </c>
      <c r="V196" s="24" t="str">
        <f>HYPERLINK("https://znanium.ru/catalog/product/2144887", "Ознакомиться")</f>
        <v>Ознакомиться</v>
      </c>
      <c r="W196" s="8" t="s">
        <v>1290</v>
      </c>
      <c r="X196" s="6"/>
      <c r="Y196" s="6"/>
      <c r="Z196" s="6"/>
      <c r="AA196" s="6" t="s">
        <v>213</v>
      </c>
      <c r="AB196" s="8"/>
    </row>
    <row r="197" spans="1:28" s="4" customFormat="1" ht="42" customHeight="1">
      <c r="A197" s="5">
        <v>0</v>
      </c>
      <c r="B197" s="6" t="s">
        <v>1297</v>
      </c>
      <c r="C197" s="7">
        <v>1524</v>
      </c>
      <c r="D197" s="8" t="s">
        <v>1298</v>
      </c>
      <c r="E197" s="8" t="s">
        <v>1299</v>
      </c>
      <c r="F197" s="8" t="s">
        <v>1300</v>
      </c>
      <c r="G197" s="6" t="s">
        <v>62</v>
      </c>
      <c r="H197" s="6" t="s">
        <v>39</v>
      </c>
      <c r="I197" s="8" t="s">
        <v>1126</v>
      </c>
      <c r="J197" s="9">
        <v>1</v>
      </c>
      <c r="K197" s="9">
        <v>243</v>
      </c>
      <c r="L197" s="9">
        <v>2026</v>
      </c>
      <c r="M197" s="8" t="s">
        <v>1301</v>
      </c>
      <c r="N197" s="8" t="s">
        <v>144</v>
      </c>
      <c r="O197" s="8" t="s">
        <v>145</v>
      </c>
      <c r="P197" s="6" t="s">
        <v>44</v>
      </c>
      <c r="Q197" s="8" t="s">
        <v>45</v>
      </c>
      <c r="R197" s="10" t="s">
        <v>146</v>
      </c>
      <c r="S197" s="11"/>
      <c r="T197" s="6"/>
      <c r="U197" s="24" t="str">
        <f>HYPERLINK("https://media.infra-m.ru/2184/2184528/cover/2184528.jpg", "Обложка")</f>
        <v>Обложка</v>
      </c>
      <c r="V197" s="24" t="str">
        <f>HYPERLINK("https://znanium.ru/catalog/product/2184528", "Ознакомиться")</f>
        <v>Ознакомиться</v>
      </c>
      <c r="W197" s="8" t="s">
        <v>1290</v>
      </c>
      <c r="X197" s="6"/>
      <c r="Y197" s="6"/>
      <c r="Z197" s="6"/>
      <c r="AA197" s="6" t="s">
        <v>138</v>
      </c>
      <c r="AB197" s="8"/>
    </row>
    <row r="198" spans="1:28" s="4" customFormat="1" ht="42" customHeight="1">
      <c r="A198" s="5">
        <v>0</v>
      </c>
      <c r="B198" s="6" t="s">
        <v>1302</v>
      </c>
      <c r="C198" s="7">
        <v>3940.8</v>
      </c>
      <c r="D198" s="8" t="s">
        <v>1303</v>
      </c>
      <c r="E198" s="8" t="s">
        <v>1304</v>
      </c>
      <c r="F198" s="8" t="s">
        <v>1305</v>
      </c>
      <c r="G198" s="6" t="s">
        <v>96</v>
      </c>
      <c r="H198" s="6" t="s">
        <v>39</v>
      </c>
      <c r="I198" s="8" t="s">
        <v>340</v>
      </c>
      <c r="J198" s="9">
        <v>1</v>
      </c>
      <c r="K198" s="9">
        <v>676</v>
      </c>
      <c r="L198" s="9">
        <v>2024</v>
      </c>
      <c r="M198" s="8" t="s">
        <v>1306</v>
      </c>
      <c r="N198" s="8" t="s">
        <v>119</v>
      </c>
      <c r="O198" s="8" t="s">
        <v>270</v>
      </c>
      <c r="P198" s="6" t="s">
        <v>477</v>
      </c>
      <c r="Q198" s="8" t="s">
        <v>45</v>
      </c>
      <c r="R198" s="10" t="s">
        <v>1307</v>
      </c>
      <c r="S198" s="11"/>
      <c r="T198" s="6"/>
      <c r="U198" s="24" t="str">
        <f>HYPERLINK("https://media.infra-m.ru/2157/2157162/cover/2157162.jpg", "Обложка")</f>
        <v>Обложка</v>
      </c>
      <c r="V198" s="24" t="str">
        <f>HYPERLINK("https://znanium.ru/catalog/product/2156587", "Ознакомиться")</f>
        <v>Ознакомиться</v>
      </c>
      <c r="W198" s="8"/>
      <c r="X198" s="6"/>
      <c r="Y198" s="6"/>
      <c r="Z198" s="6"/>
      <c r="AA198" s="6" t="s">
        <v>48</v>
      </c>
      <c r="AB198" s="8"/>
    </row>
    <row r="199" spans="1:28" s="4" customFormat="1" ht="44.1" customHeight="1">
      <c r="A199" s="5">
        <v>0</v>
      </c>
      <c r="B199" s="6" t="s">
        <v>1308</v>
      </c>
      <c r="C199" s="7">
        <v>1444.8</v>
      </c>
      <c r="D199" s="8" t="s">
        <v>1309</v>
      </c>
      <c r="E199" s="8" t="s">
        <v>1310</v>
      </c>
      <c r="F199" s="8" t="s">
        <v>1311</v>
      </c>
      <c r="G199" s="6" t="s">
        <v>96</v>
      </c>
      <c r="H199" s="6" t="s">
        <v>188</v>
      </c>
      <c r="I199" s="8"/>
      <c r="J199" s="9">
        <v>1</v>
      </c>
      <c r="K199" s="9">
        <v>240</v>
      </c>
      <c r="L199" s="9">
        <v>2025</v>
      </c>
      <c r="M199" s="8" t="s">
        <v>1312</v>
      </c>
      <c r="N199" s="8" t="s">
        <v>119</v>
      </c>
      <c r="O199" s="8" t="s">
        <v>458</v>
      </c>
      <c r="P199" s="6" t="s">
        <v>714</v>
      </c>
      <c r="Q199" s="8" t="s">
        <v>200</v>
      </c>
      <c r="R199" s="10" t="s">
        <v>1313</v>
      </c>
      <c r="S199" s="11"/>
      <c r="T199" s="6"/>
      <c r="U199" s="24" t="str">
        <f>HYPERLINK("https://media.infra-m.ru/2170/2170072/cover/2170072.jpg", "Обложка")</f>
        <v>Обложка</v>
      </c>
      <c r="V199" s="12"/>
      <c r="W199" s="8" t="s">
        <v>1314</v>
      </c>
      <c r="X199" s="6"/>
      <c r="Y199" s="6"/>
      <c r="Z199" s="6"/>
      <c r="AA199" s="6" t="s">
        <v>75</v>
      </c>
      <c r="AB199" s="8"/>
    </row>
    <row r="200" spans="1:28" s="4" customFormat="1" ht="51.95" customHeight="1">
      <c r="A200" s="5">
        <v>0</v>
      </c>
      <c r="B200" s="6" t="s">
        <v>1315</v>
      </c>
      <c r="C200" s="7">
        <v>1116</v>
      </c>
      <c r="D200" s="8" t="s">
        <v>1316</v>
      </c>
      <c r="E200" s="8" t="s">
        <v>1317</v>
      </c>
      <c r="F200" s="8" t="s">
        <v>804</v>
      </c>
      <c r="G200" s="6" t="s">
        <v>62</v>
      </c>
      <c r="H200" s="6" t="s">
        <v>39</v>
      </c>
      <c r="I200" s="8" t="s">
        <v>421</v>
      </c>
      <c r="J200" s="9">
        <v>1</v>
      </c>
      <c r="K200" s="9">
        <v>175</v>
      </c>
      <c r="L200" s="9">
        <v>2025</v>
      </c>
      <c r="M200" s="8" t="s">
        <v>1318</v>
      </c>
      <c r="N200" s="8" t="s">
        <v>42</v>
      </c>
      <c r="O200" s="8" t="s">
        <v>908</v>
      </c>
      <c r="P200" s="6" t="s">
        <v>425</v>
      </c>
      <c r="Q200" s="8" t="s">
        <v>180</v>
      </c>
      <c r="R200" s="10" t="s">
        <v>1319</v>
      </c>
      <c r="S200" s="11"/>
      <c r="T200" s="6"/>
      <c r="U200" s="24" t="str">
        <f>HYPERLINK("https://media.infra-m.ru/2183/2183790/cover/2183790.jpg", "Обложка")</f>
        <v>Обложка</v>
      </c>
      <c r="V200" s="24" t="str">
        <f>HYPERLINK("https://znanium.ru/catalog/product/2183790", "Ознакомиться")</f>
        <v>Ознакомиться</v>
      </c>
      <c r="W200" s="8" t="s">
        <v>807</v>
      </c>
      <c r="X200" s="6"/>
      <c r="Y200" s="6"/>
      <c r="Z200" s="6"/>
      <c r="AA200" s="6" t="s">
        <v>360</v>
      </c>
      <c r="AB200" s="8"/>
    </row>
    <row r="201" spans="1:28" s="4" customFormat="1" ht="51.95" customHeight="1">
      <c r="A201" s="5">
        <v>0</v>
      </c>
      <c r="B201" s="6" t="s">
        <v>1320</v>
      </c>
      <c r="C201" s="7">
        <v>2152.8000000000002</v>
      </c>
      <c r="D201" s="8" t="s">
        <v>1321</v>
      </c>
      <c r="E201" s="8" t="s">
        <v>1322</v>
      </c>
      <c r="F201" s="8" t="s">
        <v>1323</v>
      </c>
      <c r="G201" s="6" t="s">
        <v>62</v>
      </c>
      <c r="H201" s="6" t="s">
        <v>39</v>
      </c>
      <c r="I201" s="8" t="s">
        <v>421</v>
      </c>
      <c r="J201" s="9">
        <v>1</v>
      </c>
      <c r="K201" s="9">
        <v>333</v>
      </c>
      <c r="L201" s="9">
        <v>2026</v>
      </c>
      <c r="M201" s="8" t="s">
        <v>1324</v>
      </c>
      <c r="N201" s="8" t="s">
        <v>119</v>
      </c>
      <c r="O201" s="8" t="s">
        <v>381</v>
      </c>
      <c r="P201" s="6" t="s">
        <v>425</v>
      </c>
      <c r="Q201" s="8"/>
      <c r="R201" s="10" t="s">
        <v>1325</v>
      </c>
      <c r="S201" s="11"/>
      <c r="T201" s="6"/>
      <c r="U201" s="24" t="str">
        <f>HYPERLINK("https://media.infra-m.ru/2221/2221990/cover/2221990.jpg", "Обложка")</f>
        <v>Обложка</v>
      </c>
      <c r="V201" s="24" t="str">
        <f>HYPERLINK("https://znanium.ru/catalog/product/2216215", "Ознакомиться")</f>
        <v>Ознакомиться</v>
      </c>
      <c r="W201" s="8" t="s">
        <v>1326</v>
      </c>
      <c r="X201" s="6"/>
      <c r="Y201" s="6"/>
      <c r="Z201" s="6"/>
      <c r="AA201" s="6" t="s">
        <v>360</v>
      </c>
      <c r="AB201" s="8"/>
    </row>
    <row r="202" spans="1:28" s="4" customFormat="1" ht="42" customHeight="1">
      <c r="A202" s="5">
        <v>0</v>
      </c>
      <c r="B202" s="6" t="s">
        <v>1327</v>
      </c>
      <c r="C202" s="7">
        <v>2172</v>
      </c>
      <c r="D202" s="8" t="s">
        <v>1328</v>
      </c>
      <c r="E202" s="8" t="s">
        <v>1329</v>
      </c>
      <c r="F202" s="8" t="s">
        <v>1330</v>
      </c>
      <c r="G202" s="6" t="s">
        <v>96</v>
      </c>
      <c r="H202" s="6" t="s">
        <v>39</v>
      </c>
      <c r="I202" s="8" t="s">
        <v>40</v>
      </c>
      <c r="J202" s="9">
        <v>1</v>
      </c>
      <c r="K202" s="9">
        <v>362</v>
      </c>
      <c r="L202" s="9">
        <v>2025</v>
      </c>
      <c r="M202" s="8" t="s">
        <v>1331</v>
      </c>
      <c r="N202" s="8" t="s">
        <v>42</v>
      </c>
      <c r="O202" s="8" t="s">
        <v>43</v>
      </c>
      <c r="P202" s="6" t="s">
        <v>44</v>
      </c>
      <c r="Q202" s="8" t="s">
        <v>45</v>
      </c>
      <c r="R202" s="10" t="s">
        <v>1332</v>
      </c>
      <c r="S202" s="11"/>
      <c r="T202" s="6"/>
      <c r="U202" s="24" t="str">
        <f>HYPERLINK("https://media.infra-m.ru/2074/2074254/cover/2074254.jpg", "Обложка")</f>
        <v>Обложка</v>
      </c>
      <c r="V202" s="24" t="str">
        <f>HYPERLINK("https://znanium.ru/catalog/product/2074254", "Ознакомиться")</f>
        <v>Ознакомиться</v>
      </c>
      <c r="W202" s="8" t="s">
        <v>1333</v>
      </c>
      <c r="X202" s="6"/>
      <c r="Y202" s="6"/>
      <c r="Z202" s="6"/>
      <c r="AA202" s="6" t="s">
        <v>360</v>
      </c>
      <c r="AB202" s="8"/>
    </row>
    <row r="203" spans="1:28" s="4" customFormat="1" ht="42" customHeight="1">
      <c r="A203" s="5">
        <v>0</v>
      </c>
      <c r="B203" s="6" t="s">
        <v>1334</v>
      </c>
      <c r="C203" s="7">
        <v>1188</v>
      </c>
      <c r="D203" s="8" t="s">
        <v>1335</v>
      </c>
      <c r="E203" s="8" t="s">
        <v>1336</v>
      </c>
      <c r="F203" s="8" t="s">
        <v>1337</v>
      </c>
      <c r="G203" s="6" t="s">
        <v>38</v>
      </c>
      <c r="H203" s="6" t="s">
        <v>39</v>
      </c>
      <c r="I203" s="8" t="s">
        <v>40</v>
      </c>
      <c r="J203" s="9">
        <v>1</v>
      </c>
      <c r="K203" s="9">
        <v>185</v>
      </c>
      <c r="L203" s="9">
        <v>2026</v>
      </c>
      <c r="M203" s="8" t="s">
        <v>1338</v>
      </c>
      <c r="N203" s="8" t="s">
        <v>42</v>
      </c>
      <c r="O203" s="8" t="s">
        <v>104</v>
      </c>
      <c r="P203" s="6" t="s">
        <v>44</v>
      </c>
      <c r="Q203" s="8" t="s">
        <v>45</v>
      </c>
      <c r="R203" s="10" t="s">
        <v>1339</v>
      </c>
      <c r="S203" s="11"/>
      <c r="T203" s="6"/>
      <c r="U203" s="24" t="str">
        <f>HYPERLINK("https://media.infra-m.ru/2211/2211987/cover/2211987.jpg", "Обложка")</f>
        <v>Обложка</v>
      </c>
      <c r="V203" s="24" t="str">
        <f>HYPERLINK("https://znanium.ru/catalog/product/2211987", "Ознакомиться")</f>
        <v>Ознакомиться</v>
      </c>
      <c r="W203" s="8" t="s">
        <v>1340</v>
      </c>
      <c r="X203" s="6"/>
      <c r="Y203" s="6"/>
      <c r="Z203" s="6"/>
      <c r="AA203" s="6" t="s">
        <v>138</v>
      </c>
      <c r="AB203" s="8"/>
    </row>
    <row r="204" spans="1:28" s="4" customFormat="1" ht="42" customHeight="1">
      <c r="A204" s="5">
        <v>0</v>
      </c>
      <c r="B204" s="6" t="s">
        <v>1341</v>
      </c>
      <c r="C204" s="7">
        <v>1596</v>
      </c>
      <c r="D204" s="8" t="s">
        <v>1342</v>
      </c>
      <c r="E204" s="8" t="s">
        <v>1343</v>
      </c>
      <c r="F204" s="8" t="s">
        <v>1344</v>
      </c>
      <c r="G204" s="6" t="s">
        <v>62</v>
      </c>
      <c r="H204" s="6" t="s">
        <v>39</v>
      </c>
      <c r="I204" s="8" t="s">
        <v>40</v>
      </c>
      <c r="J204" s="9">
        <v>1</v>
      </c>
      <c r="K204" s="9">
        <v>242</v>
      </c>
      <c r="L204" s="9">
        <v>2026</v>
      </c>
      <c r="M204" s="8" t="s">
        <v>1345</v>
      </c>
      <c r="N204" s="8" t="s">
        <v>42</v>
      </c>
      <c r="O204" s="8" t="s">
        <v>104</v>
      </c>
      <c r="P204" s="6" t="s">
        <v>44</v>
      </c>
      <c r="Q204" s="8" t="s">
        <v>45</v>
      </c>
      <c r="R204" s="10" t="s">
        <v>1346</v>
      </c>
      <c r="S204" s="11"/>
      <c r="T204" s="6"/>
      <c r="U204" s="24" t="str">
        <f>HYPERLINK("https://media.infra-m.ru/2116/2116805/cover/2116805.jpg", "Обложка")</f>
        <v>Обложка</v>
      </c>
      <c r="V204" s="24" t="str">
        <f>HYPERLINK("https://znanium.ru/catalog/product/2116805", "Ознакомиться")</f>
        <v>Ознакомиться</v>
      </c>
      <c r="W204" s="8" t="s">
        <v>1347</v>
      </c>
      <c r="X204" s="6"/>
      <c r="Y204" s="6"/>
      <c r="Z204" s="6"/>
      <c r="AA204" s="6" t="s">
        <v>273</v>
      </c>
      <c r="AB204" s="8"/>
    </row>
    <row r="205" spans="1:28" s="4" customFormat="1" ht="44.1" customHeight="1">
      <c r="A205" s="5">
        <v>0</v>
      </c>
      <c r="B205" s="6" t="s">
        <v>1348</v>
      </c>
      <c r="C205" s="7">
        <v>2752.8</v>
      </c>
      <c r="D205" s="8" t="s">
        <v>1349</v>
      </c>
      <c r="E205" s="8" t="s">
        <v>1350</v>
      </c>
      <c r="F205" s="8" t="s">
        <v>1351</v>
      </c>
      <c r="G205" s="6" t="s">
        <v>96</v>
      </c>
      <c r="H205" s="6" t="s">
        <v>39</v>
      </c>
      <c r="I205" s="8" t="s">
        <v>1352</v>
      </c>
      <c r="J205" s="9">
        <v>1</v>
      </c>
      <c r="K205" s="9">
        <v>441</v>
      </c>
      <c r="L205" s="9">
        <v>2026</v>
      </c>
      <c r="M205" s="8" t="s">
        <v>1353</v>
      </c>
      <c r="N205" s="8" t="s">
        <v>177</v>
      </c>
      <c r="O205" s="8" t="s">
        <v>524</v>
      </c>
      <c r="P205" s="6" t="s">
        <v>199</v>
      </c>
      <c r="Q205" s="8" t="s">
        <v>1354</v>
      </c>
      <c r="R205" s="10" t="s">
        <v>1355</v>
      </c>
      <c r="S205" s="11"/>
      <c r="T205" s="6"/>
      <c r="U205" s="24" t="str">
        <f>HYPERLINK("https://media.infra-m.ru/2223/2223163/cover/2223163.jpg", "Обложка")</f>
        <v>Обложка</v>
      </c>
      <c r="V205" s="24" t="str">
        <f>HYPERLINK("https://znanium.ru/catalog/product/2175044", "Ознакомиться")</f>
        <v>Ознакомиться</v>
      </c>
      <c r="W205" s="8" t="s">
        <v>1356</v>
      </c>
      <c r="X205" s="6"/>
      <c r="Y205" s="6"/>
      <c r="Z205" s="6"/>
      <c r="AA205" s="6" t="s">
        <v>213</v>
      </c>
      <c r="AB205" s="8" t="s">
        <v>1357</v>
      </c>
    </row>
    <row r="206" spans="1:28" s="4" customFormat="1" ht="51.95" customHeight="1">
      <c r="A206" s="5">
        <v>0</v>
      </c>
      <c r="B206" s="6" t="s">
        <v>1358</v>
      </c>
      <c r="C206" s="7">
        <v>1200</v>
      </c>
      <c r="D206" s="8" t="s">
        <v>1359</v>
      </c>
      <c r="E206" s="8" t="s">
        <v>1360</v>
      </c>
      <c r="F206" s="8" t="s">
        <v>1361</v>
      </c>
      <c r="G206" s="6" t="s">
        <v>62</v>
      </c>
      <c r="H206" s="6" t="s">
        <v>188</v>
      </c>
      <c r="I206" s="8" t="s">
        <v>1362</v>
      </c>
      <c r="J206" s="9">
        <v>1</v>
      </c>
      <c r="K206" s="9">
        <v>223</v>
      </c>
      <c r="L206" s="9">
        <v>2023</v>
      </c>
      <c r="M206" s="8" t="s">
        <v>1363</v>
      </c>
      <c r="N206" s="8" t="s">
        <v>177</v>
      </c>
      <c r="O206" s="8" t="s">
        <v>524</v>
      </c>
      <c r="P206" s="6" t="s">
        <v>154</v>
      </c>
      <c r="Q206" s="8" t="s">
        <v>1354</v>
      </c>
      <c r="R206" s="10" t="s">
        <v>1364</v>
      </c>
      <c r="S206" s="11" t="s">
        <v>1365</v>
      </c>
      <c r="T206" s="6"/>
      <c r="U206" s="24" t="str">
        <f>HYPERLINK("https://media.infra-m.ru/1865/1865314/cover/1865314.jpg", "Обложка")</f>
        <v>Обложка</v>
      </c>
      <c r="V206" s="24" t="str">
        <f>HYPERLINK("https://znanium.ru/catalog/product/1865314", "Ознакомиться")</f>
        <v>Ознакомиться</v>
      </c>
      <c r="W206" s="8" t="s">
        <v>1366</v>
      </c>
      <c r="X206" s="6"/>
      <c r="Y206" s="6"/>
      <c r="Z206" s="6"/>
      <c r="AA206" s="6" t="s">
        <v>138</v>
      </c>
      <c r="AB206" s="8"/>
    </row>
    <row r="207" spans="1:28" s="4" customFormat="1" ht="51.95" customHeight="1">
      <c r="A207" s="5">
        <v>0</v>
      </c>
      <c r="B207" s="6" t="s">
        <v>1367</v>
      </c>
      <c r="C207" s="7">
        <v>4320</v>
      </c>
      <c r="D207" s="8" t="s">
        <v>1368</v>
      </c>
      <c r="E207" s="8" t="s">
        <v>1369</v>
      </c>
      <c r="F207" s="8"/>
      <c r="G207" s="6" t="s">
        <v>96</v>
      </c>
      <c r="H207" s="6" t="s">
        <v>39</v>
      </c>
      <c r="I207" s="8"/>
      <c r="J207" s="9">
        <v>1</v>
      </c>
      <c r="K207" s="9">
        <v>716</v>
      </c>
      <c r="L207" s="9">
        <v>2025</v>
      </c>
      <c r="M207" s="8" t="s">
        <v>1370</v>
      </c>
      <c r="N207" s="8" t="s">
        <v>119</v>
      </c>
      <c r="O207" s="8" t="s">
        <v>120</v>
      </c>
      <c r="P207" s="6" t="s">
        <v>1371</v>
      </c>
      <c r="Q207" s="8" t="s">
        <v>45</v>
      </c>
      <c r="R207" s="10" t="s">
        <v>1372</v>
      </c>
      <c r="S207" s="11"/>
      <c r="T207" s="6"/>
      <c r="U207" s="24" t="str">
        <f>HYPERLINK("https://media.infra-m.ru/2065/2065306/cover/2065306.jpg", "Обложка")</f>
        <v>Обложка</v>
      </c>
      <c r="V207" s="12"/>
      <c r="W207" s="8"/>
      <c r="X207" s="6" t="s">
        <v>436</v>
      </c>
      <c r="Y207" s="6"/>
      <c r="Z207" s="6"/>
      <c r="AA207" s="6" t="s">
        <v>360</v>
      </c>
      <c r="AB207" s="8"/>
    </row>
    <row r="208" spans="1:28" s="4" customFormat="1" ht="42" customHeight="1">
      <c r="A208" s="5">
        <v>0</v>
      </c>
      <c r="B208" s="6" t="s">
        <v>1373</v>
      </c>
      <c r="C208" s="13">
        <v>924</v>
      </c>
      <c r="D208" s="8" t="s">
        <v>1374</v>
      </c>
      <c r="E208" s="8" t="s">
        <v>1375</v>
      </c>
      <c r="F208" s="8" t="s">
        <v>1376</v>
      </c>
      <c r="G208" s="6" t="s">
        <v>38</v>
      </c>
      <c r="H208" s="6" t="s">
        <v>39</v>
      </c>
      <c r="I208" s="8" t="s">
        <v>40</v>
      </c>
      <c r="J208" s="9">
        <v>1</v>
      </c>
      <c r="K208" s="9">
        <v>166</v>
      </c>
      <c r="L208" s="9">
        <v>2024</v>
      </c>
      <c r="M208" s="8" t="s">
        <v>1377</v>
      </c>
      <c r="N208" s="8" t="s">
        <v>42</v>
      </c>
      <c r="O208" s="8" t="s">
        <v>43</v>
      </c>
      <c r="P208" s="6" t="s">
        <v>44</v>
      </c>
      <c r="Q208" s="8" t="s">
        <v>45</v>
      </c>
      <c r="R208" s="10" t="s">
        <v>1075</v>
      </c>
      <c r="S208" s="11"/>
      <c r="T208" s="6"/>
      <c r="U208" s="24" t="str">
        <f>HYPERLINK("https://media.infra-m.ru/2063/2063375/cover/2063375.jpg", "Обложка")</f>
        <v>Обложка</v>
      </c>
      <c r="V208" s="24" t="str">
        <f>HYPERLINK("https://znanium.ru/catalog/product/2063375", "Ознакомиться")</f>
        <v>Ознакомиться</v>
      </c>
      <c r="W208" s="8" t="s">
        <v>1284</v>
      </c>
      <c r="X208" s="6"/>
      <c r="Y208" s="6"/>
      <c r="Z208" s="6"/>
      <c r="AA208" s="6" t="s">
        <v>138</v>
      </c>
      <c r="AB208" s="8" t="s">
        <v>1357</v>
      </c>
    </row>
    <row r="209" spans="1:28" s="4" customFormat="1" ht="51.95" customHeight="1">
      <c r="A209" s="5">
        <v>0</v>
      </c>
      <c r="B209" s="6" t="s">
        <v>1378</v>
      </c>
      <c r="C209" s="7">
        <v>2040</v>
      </c>
      <c r="D209" s="8" t="s">
        <v>1379</v>
      </c>
      <c r="E209" s="8" t="s">
        <v>1380</v>
      </c>
      <c r="F209" s="8" t="s">
        <v>1381</v>
      </c>
      <c r="G209" s="6" t="s">
        <v>62</v>
      </c>
      <c r="H209" s="6" t="s">
        <v>39</v>
      </c>
      <c r="I209" s="8" t="s">
        <v>757</v>
      </c>
      <c r="J209" s="9">
        <v>1</v>
      </c>
      <c r="K209" s="9">
        <v>472</v>
      </c>
      <c r="L209" s="9">
        <v>2021</v>
      </c>
      <c r="M209" s="8" t="s">
        <v>1382</v>
      </c>
      <c r="N209" s="8" t="s">
        <v>119</v>
      </c>
      <c r="O209" s="8" t="s">
        <v>120</v>
      </c>
      <c r="P209" s="6" t="s">
        <v>169</v>
      </c>
      <c r="Q209" s="8" t="s">
        <v>180</v>
      </c>
      <c r="R209" s="10" t="s">
        <v>1383</v>
      </c>
      <c r="S209" s="11"/>
      <c r="T209" s="6"/>
      <c r="U209" s="24" t="str">
        <f>HYPERLINK("https://media.infra-m.ru/1216/1216935/cover/1216935.jpg", "Обложка")</f>
        <v>Обложка</v>
      </c>
      <c r="V209" s="24" t="str">
        <f>HYPERLINK("https://znanium.ru/catalog/product/1216935", "Ознакомиться")</f>
        <v>Ознакомиться</v>
      </c>
      <c r="W209" s="8" t="s">
        <v>505</v>
      </c>
      <c r="X209" s="6"/>
      <c r="Y209" s="6"/>
      <c r="Z209" s="6"/>
      <c r="AA209" s="6" t="s">
        <v>391</v>
      </c>
      <c r="AB209" s="8"/>
    </row>
    <row r="210" spans="1:28" s="4" customFormat="1" ht="51.95" customHeight="1">
      <c r="A210" s="5">
        <v>0</v>
      </c>
      <c r="B210" s="6" t="s">
        <v>1384</v>
      </c>
      <c r="C210" s="7">
        <v>4196.3999999999996</v>
      </c>
      <c r="D210" s="8" t="s">
        <v>1385</v>
      </c>
      <c r="E210" s="8" t="s">
        <v>1386</v>
      </c>
      <c r="F210" s="8" t="s">
        <v>1387</v>
      </c>
      <c r="G210" s="6" t="s">
        <v>62</v>
      </c>
      <c r="H210" s="6" t="s">
        <v>167</v>
      </c>
      <c r="I210" s="8" t="s">
        <v>1388</v>
      </c>
      <c r="J210" s="9">
        <v>1</v>
      </c>
      <c r="K210" s="9">
        <v>928</v>
      </c>
      <c r="L210" s="9">
        <v>2026</v>
      </c>
      <c r="M210" s="8" t="s">
        <v>1389</v>
      </c>
      <c r="N210" s="8" t="s">
        <v>119</v>
      </c>
      <c r="O210" s="8" t="s">
        <v>120</v>
      </c>
      <c r="P210" s="6" t="s">
        <v>169</v>
      </c>
      <c r="Q210" s="8"/>
      <c r="R210" s="10" t="s">
        <v>1390</v>
      </c>
      <c r="S210" s="11"/>
      <c r="T210" s="6"/>
      <c r="U210" s="24" t="str">
        <f>HYPERLINK("https://media.infra-m.ru/2221/2221654/cover/2221654.jpg", "Обложка")</f>
        <v>Обложка</v>
      </c>
      <c r="V210" s="24" t="str">
        <f>HYPERLINK("https://znanium.ru/catalog/product/1973510", "Ознакомиться")</f>
        <v>Ознакомиться</v>
      </c>
      <c r="W210" s="8" t="s">
        <v>1391</v>
      </c>
      <c r="X210" s="6"/>
      <c r="Y210" s="6" t="s">
        <v>30</v>
      </c>
      <c r="Z210" s="6"/>
      <c r="AA210" s="6" t="s">
        <v>1392</v>
      </c>
      <c r="AB210" s="8"/>
    </row>
    <row r="211" spans="1:28" s="4" customFormat="1" ht="51.95" customHeight="1">
      <c r="A211" s="5">
        <v>0</v>
      </c>
      <c r="B211" s="6" t="s">
        <v>1393</v>
      </c>
      <c r="C211" s="7">
        <v>1199.9000000000001</v>
      </c>
      <c r="D211" s="8" t="s">
        <v>1394</v>
      </c>
      <c r="E211" s="8" t="s">
        <v>1395</v>
      </c>
      <c r="F211" s="8" t="s">
        <v>1396</v>
      </c>
      <c r="G211" s="6" t="s">
        <v>96</v>
      </c>
      <c r="H211" s="6" t="s">
        <v>167</v>
      </c>
      <c r="I211" s="8"/>
      <c r="J211" s="9">
        <v>4</v>
      </c>
      <c r="K211" s="9">
        <v>816</v>
      </c>
      <c r="L211" s="9">
        <v>2014</v>
      </c>
      <c r="M211" s="8" t="s">
        <v>1397</v>
      </c>
      <c r="N211" s="8" t="s">
        <v>119</v>
      </c>
      <c r="O211" s="8" t="s">
        <v>120</v>
      </c>
      <c r="P211" s="6" t="s">
        <v>169</v>
      </c>
      <c r="Q211" s="8" t="s">
        <v>45</v>
      </c>
      <c r="R211" s="10" t="s">
        <v>1390</v>
      </c>
      <c r="S211" s="11"/>
      <c r="T211" s="6"/>
      <c r="U211" s="24" t="str">
        <f>HYPERLINK("https://media.infra-m.ru/0459/0459415/cover/459415.jpg", "Обложка")</f>
        <v>Обложка</v>
      </c>
      <c r="V211" s="24" t="str">
        <f>HYPERLINK("https://znanium.ru/catalog/product/1973510", "Ознакомиться")</f>
        <v>Ознакомиться</v>
      </c>
      <c r="W211" s="8" t="s">
        <v>1398</v>
      </c>
      <c r="X211" s="6"/>
      <c r="Y211" s="6" t="s">
        <v>30</v>
      </c>
      <c r="Z211" s="6"/>
      <c r="AA211" s="6" t="s">
        <v>1399</v>
      </c>
      <c r="AB211" s="8"/>
    </row>
    <row r="212" spans="1:28" s="4" customFormat="1" ht="42" customHeight="1">
      <c r="A212" s="5">
        <v>0</v>
      </c>
      <c r="B212" s="6" t="s">
        <v>1400</v>
      </c>
      <c r="C212" s="7">
        <v>3108</v>
      </c>
      <c r="D212" s="8" t="s">
        <v>1401</v>
      </c>
      <c r="E212" s="8" t="s">
        <v>1402</v>
      </c>
      <c r="F212" s="8" t="s">
        <v>1403</v>
      </c>
      <c r="G212" s="6" t="s">
        <v>38</v>
      </c>
      <c r="H212" s="6" t="s">
        <v>118</v>
      </c>
      <c r="I212" s="8"/>
      <c r="J212" s="9">
        <v>1</v>
      </c>
      <c r="K212" s="9">
        <v>510</v>
      </c>
      <c r="L212" s="9">
        <v>2025</v>
      </c>
      <c r="M212" s="8" t="s">
        <v>1404</v>
      </c>
      <c r="N212" s="8" t="s">
        <v>119</v>
      </c>
      <c r="O212" s="8" t="s">
        <v>120</v>
      </c>
      <c r="P212" s="6" t="s">
        <v>169</v>
      </c>
      <c r="Q212" s="8" t="s">
        <v>45</v>
      </c>
      <c r="R212" s="10" t="s">
        <v>1405</v>
      </c>
      <c r="S212" s="11"/>
      <c r="T212" s="6"/>
      <c r="U212" s="24" t="str">
        <f>HYPERLINK("https://media.infra-m.ru/2187/2187248/cover/2187248.jpg", "Обложка")</f>
        <v>Обложка</v>
      </c>
      <c r="V212" s="24" t="str">
        <f>HYPERLINK("https://znanium.ru/catalog/product/2187248", "Ознакомиться")</f>
        <v>Ознакомиться</v>
      </c>
      <c r="W212" s="8" t="s">
        <v>1406</v>
      </c>
      <c r="X212" s="6" t="s">
        <v>1407</v>
      </c>
      <c r="Y212" s="6"/>
      <c r="Z212" s="6"/>
      <c r="AA212" s="6" t="s">
        <v>1408</v>
      </c>
      <c r="AB212" s="8"/>
    </row>
    <row r="213" spans="1:28" s="4" customFormat="1" ht="42" customHeight="1">
      <c r="A213" s="5">
        <v>0</v>
      </c>
      <c r="B213" s="6" t="s">
        <v>1409</v>
      </c>
      <c r="C213" s="13">
        <v>635.9</v>
      </c>
      <c r="D213" s="8" t="s">
        <v>1410</v>
      </c>
      <c r="E213" s="8" t="s">
        <v>1411</v>
      </c>
      <c r="F213" s="8" t="s">
        <v>1412</v>
      </c>
      <c r="G213" s="6" t="s">
        <v>26</v>
      </c>
      <c r="H213" s="6" t="s">
        <v>118</v>
      </c>
      <c r="I213" s="8"/>
      <c r="J213" s="9">
        <v>40</v>
      </c>
      <c r="K213" s="9">
        <v>440</v>
      </c>
      <c r="L213" s="9">
        <v>2014</v>
      </c>
      <c r="M213" s="8" t="s">
        <v>1413</v>
      </c>
      <c r="N213" s="8" t="s">
        <v>119</v>
      </c>
      <c r="O213" s="8" t="s">
        <v>120</v>
      </c>
      <c r="P213" s="6" t="s">
        <v>169</v>
      </c>
      <c r="Q213" s="8" t="s">
        <v>45</v>
      </c>
      <c r="R213" s="10" t="s">
        <v>1405</v>
      </c>
      <c r="S213" s="11"/>
      <c r="T213" s="6"/>
      <c r="U213" s="24" t="str">
        <f>HYPERLINK("https://media.infra-m.ru/0423/0423658/cover/423658.jpg", "Обложка")</f>
        <v>Обложка</v>
      </c>
      <c r="V213" s="24" t="str">
        <f>HYPERLINK("https://znanium.ru/catalog/product/2187248", "Ознакомиться")</f>
        <v>Ознакомиться</v>
      </c>
      <c r="W213" s="8" t="s">
        <v>1406</v>
      </c>
      <c r="X213" s="6"/>
      <c r="Y213" s="6"/>
      <c r="Z213" s="6"/>
      <c r="AA213" s="6" t="s">
        <v>1414</v>
      </c>
      <c r="AB213" s="8"/>
    </row>
    <row r="214" spans="1:28" s="4" customFormat="1" ht="42" customHeight="1">
      <c r="A214" s="5">
        <v>0</v>
      </c>
      <c r="B214" s="6" t="s">
        <v>1415</v>
      </c>
      <c r="C214" s="7">
        <v>2748</v>
      </c>
      <c r="D214" s="8" t="s">
        <v>1416</v>
      </c>
      <c r="E214" s="8" t="s">
        <v>1417</v>
      </c>
      <c r="F214" s="8" t="s">
        <v>1403</v>
      </c>
      <c r="G214" s="6" t="s">
        <v>38</v>
      </c>
      <c r="H214" s="6" t="s">
        <v>118</v>
      </c>
      <c r="I214" s="8"/>
      <c r="J214" s="9">
        <v>1</v>
      </c>
      <c r="K214" s="9">
        <v>487</v>
      </c>
      <c r="L214" s="9">
        <v>2024</v>
      </c>
      <c r="M214" s="8" t="s">
        <v>1418</v>
      </c>
      <c r="N214" s="8" t="s">
        <v>119</v>
      </c>
      <c r="O214" s="8" t="s">
        <v>120</v>
      </c>
      <c r="P214" s="6" t="s">
        <v>169</v>
      </c>
      <c r="Q214" s="8" t="s">
        <v>45</v>
      </c>
      <c r="R214" s="10" t="s">
        <v>1405</v>
      </c>
      <c r="S214" s="11"/>
      <c r="T214" s="6"/>
      <c r="U214" s="24" t="str">
        <f>HYPERLINK("https://media.infra-m.ru/2125/2125556/cover/2125556.jpg", "Обложка")</f>
        <v>Обложка</v>
      </c>
      <c r="V214" s="24" t="str">
        <f>HYPERLINK("https://znanium.ru/catalog/product/2187248", "Ознакомиться")</f>
        <v>Ознакомиться</v>
      </c>
      <c r="W214" s="8" t="s">
        <v>1406</v>
      </c>
      <c r="X214" s="6"/>
      <c r="Y214" s="6"/>
      <c r="Z214" s="6"/>
      <c r="AA214" s="6" t="s">
        <v>1419</v>
      </c>
      <c r="AB214" s="8"/>
    </row>
    <row r="215" spans="1:28" s="4" customFormat="1" ht="42" customHeight="1">
      <c r="A215" s="5">
        <v>0</v>
      </c>
      <c r="B215" s="6" t="s">
        <v>1420</v>
      </c>
      <c r="C215" s="7">
        <v>2256</v>
      </c>
      <c r="D215" s="8" t="s">
        <v>1421</v>
      </c>
      <c r="E215" s="8" t="s">
        <v>1422</v>
      </c>
      <c r="F215" s="8" t="s">
        <v>1403</v>
      </c>
      <c r="G215" s="6" t="s">
        <v>38</v>
      </c>
      <c r="H215" s="6" t="s">
        <v>118</v>
      </c>
      <c r="I215" s="8"/>
      <c r="J215" s="9">
        <v>1</v>
      </c>
      <c r="K215" s="9">
        <v>477</v>
      </c>
      <c r="L215" s="9">
        <v>2023</v>
      </c>
      <c r="M215" s="8" t="s">
        <v>1423</v>
      </c>
      <c r="N215" s="8" t="s">
        <v>119</v>
      </c>
      <c r="O215" s="8" t="s">
        <v>120</v>
      </c>
      <c r="P215" s="6" t="s">
        <v>169</v>
      </c>
      <c r="Q215" s="8" t="s">
        <v>45</v>
      </c>
      <c r="R215" s="10" t="s">
        <v>1405</v>
      </c>
      <c r="S215" s="11"/>
      <c r="T215" s="6"/>
      <c r="U215" s="24" t="str">
        <f>HYPERLINK("https://media.infra-m.ru/1964/1964162/cover/1964162.jpg", "Обложка")</f>
        <v>Обложка</v>
      </c>
      <c r="V215" s="24" t="str">
        <f>HYPERLINK("https://znanium.ru/catalog/product/2187248", "Ознакомиться")</f>
        <v>Ознакомиться</v>
      </c>
      <c r="W215" s="8" t="s">
        <v>1406</v>
      </c>
      <c r="X215" s="6"/>
      <c r="Y215" s="6"/>
      <c r="Z215" s="6"/>
      <c r="AA215" s="6" t="s">
        <v>1424</v>
      </c>
      <c r="AB215" s="8"/>
    </row>
    <row r="216" spans="1:28" s="4" customFormat="1" ht="42" customHeight="1">
      <c r="A216" s="5">
        <v>0</v>
      </c>
      <c r="B216" s="6" t="s">
        <v>1425</v>
      </c>
      <c r="C216" s="7">
        <v>1560</v>
      </c>
      <c r="D216" s="8" t="s">
        <v>1426</v>
      </c>
      <c r="E216" s="8" t="s">
        <v>1427</v>
      </c>
      <c r="F216" s="8" t="s">
        <v>1403</v>
      </c>
      <c r="G216" s="6" t="s">
        <v>38</v>
      </c>
      <c r="H216" s="6" t="s">
        <v>118</v>
      </c>
      <c r="I216" s="8"/>
      <c r="J216" s="9">
        <v>1</v>
      </c>
      <c r="K216" s="9">
        <v>412</v>
      </c>
      <c r="L216" s="9">
        <v>2019</v>
      </c>
      <c r="M216" s="8" t="s">
        <v>1428</v>
      </c>
      <c r="N216" s="8" t="s">
        <v>119</v>
      </c>
      <c r="O216" s="8" t="s">
        <v>120</v>
      </c>
      <c r="P216" s="6" t="s">
        <v>169</v>
      </c>
      <c r="Q216" s="8" t="s">
        <v>45</v>
      </c>
      <c r="R216" s="10" t="s">
        <v>1405</v>
      </c>
      <c r="S216" s="11"/>
      <c r="T216" s="6"/>
      <c r="U216" s="24" t="str">
        <f>HYPERLINK("https://media.infra-m.ru/1013/1013425/cover/1013425.jpg", "Обложка")</f>
        <v>Обложка</v>
      </c>
      <c r="V216" s="24" t="str">
        <f>HYPERLINK("https://znanium.ru/catalog/product/2187248", "Ознакомиться")</f>
        <v>Ознакомиться</v>
      </c>
      <c r="W216" s="8" t="s">
        <v>1406</v>
      </c>
      <c r="X216" s="6"/>
      <c r="Y216" s="6"/>
      <c r="Z216" s="6"/>
      <c r="AA216" s="6" t="s">
        <v>1429</v>
      </c>
      <c r="AB216" s="8"/>
    </row>
    <row r="217" spans="1:28" s="4" customFormat="1" ht="51.95" customHeight="1">
      <c r="A217" s="5">
        <v>0</v>
      </c>
      <c r="B217" s="6" t="s">
        <v>1430</v>
      </c>
      <c r="C217" s="7">
        <v>1456.8</v>
      </c>
      <c r="D217" s="8" t="s">
        <v>1431</v>
      </c>
      <c r="E217" s="8" t="s">
        <v>1432</v>
      </c>
      <c r="F217" s="8" t="s">
        <v>1433</v>
      </c>
      <c r="G217" s="6" t="s">
        <v>62</v>
      </c>
      <c r="H217" s="6" t="s">
        <v>39</v>
      </c>
      <c r="I217" s="8" t="s">
        <v>757</v>
      </c>
      <c r="J217" s="9">
        <v>1</v>
      </c>
      <c r="K217" s="9">
        <v>368</v>
      </c>
      <c r="L217" s="9">
        <v>2024</v>
      </c>
      <c r="M217" s="8" t="s">
        <v>1434</v>
      </c>
      <c r="N217" s="8" t="s">
        <v>119</v>
      </c>
      <c r="O217" s="8" t="s">
        <v>120</v>
      </c>
      <c r="P217" s="6" t="s">
        <v>169</v>
      </c>
      <c r="Q217" s="8" t="s">
        <v>1435</v>
      </c>
      <c r="R217" s="10" t="s">
        <v>1436</v>
      </c>
      <c r="S217" s="11"/>
      <c r="T217" s="6"/>
      <c r="U217" s="24" t="str">
        <f>HYPERLINK("https://media.infra-m.ru/2211/2211640/cover/2211640.jpg", "Обложка")</f>
        <v>Обложка</v>
      </c>
      <c r="V217" s="24" t="str">
        <f>HYPERLINK("https://znanium.ru/catalog/product/2131408", "Ознакомиться")</f>
        <v>Ознакомиться</v>
      </c>
      <c r="W217" s="8" t="s">
        <v>505</v>
      </c>
      <c r="X217" s="6"/>
      <c r="Y217" s="6"/>
      <c r="Z217" s="6"/>
      <c r="AA217" s="6" t="s">
        <v>129</v>
      </c>
      <c r="AB217" s="8"/>
    </row>
    <row r="218" spans="1:28" s="4" customFormat="1" ht="51.95" customHeight="1">
      <c r="A218" s="5">
        <v>0</v>
      </c>
      <c r="B218" s="6" t="s">
        <v>1437</v>
      </c>
      <c r="C218" s="7">
        <v>2868</v>
      </c>
      <c r="D218" s="8" t="s">
        <v>1438</v>
      </c>
      <c r="E218" s="8" t="s">
        <v>1439</v>
      </c>
      <c r="F218" s="8" t="s">
        <v>1440</v>
      </c>
      <c r="G218" s="6" t="s">
        <v>38</v>
      </c>
      <c r="H218" s="6" t="s">
        <v>118</v>
      </c>
      <c r="I218" s="8"/>
      <c r="J218" s="9">
        <v>1</v>
      </c>
      <c r="K218" s="9">
        <v>686</v>
      </c>
      <c r="L218" s="9">
        <v>2022</v>
      </c>
      <c r="M218" s="8" t="s">
        <v>1441</v>
      </c>
      <c r="N218" s="8" t="s">
        <v>119</v>
      </c>
      <c r="O218" s="8" t="s">
        <v>120</v>
      </c>
      <c r="P218" s="6" t="s">
        <v>169</v>
      </c>
      <c r="Q218" s="8" t="s">
        <v>45</v>
      </c>
      <c r="R218" s="10" t="s">
        <v>1442</v>
      </c>
      <c r="S218" s="11"/>
      <c r="T218" s="6" t="s">
        <v>633</v>
      </c>
      <c r="U218" s="24" t="str">
        <f>HYPERLINK("https://media.infra-m.ru/1839/1839926/cover/1839926.jpg", "Обложка")</f>
        <v>Обложка</v>
      </c>
      <c r="V218" s="24" t="str">
        <f>HYPERLINK("https://znanium.ru/catalog/product/2165054", "Ознакомиться")</f>
        <v>Ознакомиться</v>
      </c>
      <c r="W218" s="8" t="s">
        <v>708</v>
      </c>
      <c r="X218" s="6"/>
      <c r="Y218" s="6"/>
      <c r="Z218" s="6"/>
      <c r="AA218" s="6" t="s">
        <v>1443</v>
      </c>
      <c r="AB218" s="8"/>
    </row>
    <row r="219" spans="1:28" s="4" customFormat="1" ht="51.95" customHeight="1">
      <c r="A219" s="5">
        <v>0</v>
      </c>
      <c r="B219" s="6" t="s">
        <v>1444</v>
      </c>
      <c r="C219" s="7">
        <v>3588</v>
      </c>
      <c r="D219" s="8" t="s">
        <v>1445</v>
      </c>
      <c r="E219" s="8" t="s">
        <v>1446</v>
      </c>
      <c r="F219" s="8" t="s">
        <v>1440</v>
      </c>
      <c r="G219" s="6" t="s">
        <v>38</v>
      </c>
      <c r="H219" s="6" t="s">
        <v>118</v>
      </c>
      <c r="I219" s="8" t="s">
        <v>169</v>
      </c>
      <c r="J219" s="9">
        <v>1</v>
      </c>
      <c r="K219" s="9">
        <v>749</v>
      </c>
      <c r="L219" s="9">
        <v>2023</v>
      </c>
      <c r="M219" s="8" t="s">
        <v>1447</v>
      </c>
      <c r="N219" s="8" t="s">
        <v>119</v>
      </c>
      <c r="O219" s="8" t="s">
        <v>120</v>
      </c>
      <c r="P219" s="6" t="s">
        <v>169</v>
      </c>
      <c r="Q219" s="8" t="s">
        <v>45</v>
      </c>
      <c r="R219" s="10" t="s">
        <v>1442</v>
      </c>
      <c r="S219" s="11"/>
      <c r="T219" s="6" t="s">
        <v>633</v>
      </c>
      <c r="U219" s="24" t="str">
        <f>HYPERLINK("https://media.infra-m.ru/2117/2117550/cover/2117550.jpg", "Обложка")</f>
        <v>Обложка</v>
      </c>
      <c r="V219" s="24" t="str">
        <f>HYPERLINK("https://znanium.ru/catalog/product/2165054", "Ознакомиться")</f>
        <v>Ознакомиться</v>
      </c>
      <c r="W219" s="8" t="s">
        <v>708</v>
      </c>
      <c r="X219" s="6"/>
      <c r="Y219" s="6"/>
      <c r="Z219" s="6"/>
      <c r="AA219" s="6" t="s">
        <v>1448</v>
      </c>
      <c r="AB219" s="8"/>
    </row>
    <row r="220" spans="1:28" s="4" customFormat="1" ht="51.95" customHeight="1">
      <c r="A220" s="5">
        <v>0</v>
      </c>
      <c r="B220" s="6" t="s">
        <v>1449</v>
      </c>
      <c r="C220" s="7">
        <v>2376</v>
      </c>
      <c r="D220" s="8" t="s">
        <v>1450</v>
      </c>
      <c r="E220" s="8" t="s">
        <v>1451</v>
      </c>
      <c r="F220" s="8" t="s">
        <v>1440</v>
      </c>
      <c r="G220" s="6" t="s">
        <v>38</v>
      </c>
      <c r="H220" s="6" t="s">
        <v>118</v>
      </c>
      <c r="I220" s="8"/>
      <c r="J220" s="9">
        <v>1</v>
      </c>
      <c r="K220" s="9">
        <v>580</v>
      </c>
      <c r="L220" s="9">
        <v>2020</v>
      </c>
      <c r="M220" s="8" t="s">
        <v>1452</v>
      </c>
      <c r="N220" s="8" t="s">
        <v>119</v>
      </c>
      <c r="O220" s="8" t="s">
        <v>120</v>
      </c>
      <c r="P220" s="6" t="s">
        <v>169</v>
      </c>
      <c r="Q220" s="8" t="s">
        <v>45</v>
      </c>
      <c r="R220" s="10" t="s">
        <v>1442</v>
      </c>
      <c r="S220" s="11"/>
      <c r="T220" s="6" t="s">
        <v>633</v>
      </c>
      <c r="U220" s="24" t="str">
        <f>HYPERLINK("https://media.infra-m.ru/1216/1216925/cover/1216925.jpg", "Обложка")</f>
        <v>Обложка</v>
      </c>
      <c r="V220" s="24" t="str">
        <f>HYPERLINK("https://znanium.ru/catalog/product/2165054", "Ознакомиться")</f>
        <v>Ознакомиться</v>
      </c>
      <c r="W220" s="8" t="s">
        <v>708</v>
      </c>
      <c r="X220" s="6"/>
      <c r="Y220" s="6"/>
      <c r="Z220" s="6"/>
      <c r="AA220" s="6" t="s">
        <v>1453</v>
      </c>
      <c r="AB220" s="8"/>
    </row>
    <row r="221" spans="1:28" s="4" customFormat="1" ht="51.95" customHeight="1">
      <c r="A221" s="5">
        <v>0</v>
      </c>
      <c r="B221" s="6" t="s">
        <v>1454</v>
      </c>
      <c r="C221" s="7">
        <v>2508</v>
      </c>
      <c r="D221" s="8" t="s">
        <v>1455</v>
      </c>
      <c r="E221" s="8" t="s">
        <v>1456</v>
      </c>
      <c r="F221" s="8" t="s">
        <v>1440</v>
      </c>
      <c r="G221" s="6" t="s">
        <v>38</v>
      </c>
      <c r="H221" s="6" t="s">
        <v>118</v>
      </c>
      <c r="I221" s="8"/>
      <c r="J221" s="9">
        <v>1</v>
      </c>
      <c r="K221" s="9">
        <v>605</v>
      </c>
      <c r="L221" s="9">
        <v>2021</v>
      </c>
      <c r="M221" s="8" t="s">
        <v>1457</v>
      </c>
      <c r="N221" s="8" t="s">
        <v>119</v>
      </c>
      <c r="O221" s="8" t="s">
        <v>120</v>
      </c>
      <c r="P221" s="6" t="s">
        <v>169</v>
      </c>
      <c r="Q221" s="8" t="s">
        <v>45</v>
      </c>
      <c r="R221" s="10" t="s">
        <v>1442</v>
      </c>
      <c r="S221" s="11"/>
      <c r="T221" s="6" t="s">
        <v>633</v>
      </c>
      <c r="U221" s="24" t="str">
        <f>HYPERLINK("https://media.infra-m.ru/1248/1248077/cover/1248077.jpg", "Обложка")</f>
        <v>Обложка</v>
      </c>
      <c r="V221" s="24" t="str">
        <f>HYPERLINK("https://znanium.ru/catalog/product/2165054", "Ознакомиться")</f>
        <v>Ознакомиться</v>
      </c>
      <c r="W221" s="8" t="s">
        <v>708</v>
      </c>
      <c r="X221" s="6"/>
      <c r="Y221" s="6"/>
      <c r="Z221" s="6"/>
      <c r="AA221" s="6" t="s">
        <v>1458</v>
      </c>
      <c r="AB221" s="8"/>
    </row>
    <row r="222" spans="1:28" s="4" customFormat="1" ht="51.95" customHeight="1">
      <c r="A222" s="5">
        <v>0</v>
      </c>
      <c r="B222" s="6" t="s">
        <v>1459</v>
      </c>
      <c r="C222" s="7">
        <v>2028</v>
      </c>
      <c r="D222" s="8" t="s">
        <v>1460</v>
      </c>
      <c r="E222" s="8" t="s">
        <v>1461</v>
      </c>
      <c r="F222" s="8" t="s">
        <v>1440</v>
      </c>
      <c r="G222" s="6" t="s">
        <v>38</v>
      </c>
      <c r="H222" s="6" t="s">
        <v>118</v>
      </c>
      <c r="I222" s="8"/>
      <c r="J222" s="9">
        <v>1</v>
      </c>
      <c r="K222" s="9">
        <v>566</v>
      </c>
      <c r="L222" s="9">
        <v>2019</v>
      </c>
      <c r="M222" s="8" t="s">
        <v>1462</v>
      </c>
      <c r="N222" s="8" t="s">
        <v>119</v>
      </c>
      <c r="O222" s="8" t="s">
        <v>120</v>
      </c>
      <c r="P222" s="6" t="s">
        <v>169</v>
      </c>
      <c r="Q222" s="8" t="s">
        <v>45</v>
      </c>
      <c r="R222" s="10" t="s">
        <v>1442</v>
      </c>
      <c r="S222" s="11"/>
      <c r="T222" s="6" t="s">
        <v>633</v>
      </c>
      <c r="U222" s="24" t="str">
        <f>HYPERLINK("https://media.infra-m.ru/1077/1077363/cover/1077363.jpg", "Обложка")</f>
        <v>Обложка</v>
      </c>
      <c r="V222" s="24" t="str">
        <f>HYPERLINK("https://znanium.ru/catalog/product/2165054", "Ознакомиться")</f>
        <v>Ознакомиться</v>
      </c>
      <c r="W222" s="8" t="s">
        <v>708</v>
      </c>
      <c r="X222" s="6"/>
      <c r="Y222" s="6"/>
      <c r="Z222" s="6"/>
      <c r="AA222" s="6" t="s">
        <v>1463</v>
      </c>
      <c r="AB222" s="8"/>
    </row>
    <row r="223" spans="1:28" s="4" customFormat="1" ht="51.95" customHeight="1">
      <c r="A223" s="5">
        <v>0</v>
      </c>
      <c r="B223" s="6" t="s">
        <v>1464</v>
      </c>
      <c r="C223" s="7">
        <v>3828</v>
      </c>
      <c r="D223" s="8" t="s">
        <v>1465</v>
      </c>
      <c r="E223" s="8" t="s">
        <v>1466</v>
      </c>
      <c r="F223" s="8" t="s">
        <v>1440</v>
      </c>
      <c r="G223" s="6" t="s">
        <v>38</v>
      </c>
      <c r="H223" s="6" t="s">
        <v>118</v>
      </c>
      <c r="I223" s="8" t="s">
        <v>169</v>
      </c>
      <c r="J223" s="9">
        <v>1</v>
      </c>
      <c r="K223" s="9">
        <v>776</v>
      </c>
      <c r="L223" s="9">
        <v>2024</v>
      </c>
      <c r="M223" s="8" t="s">
        <v>1467</v>
      </c>
      <c r="N223" s="8" t="s">
        <v>119</v>
      </c>
      <c r="O223" s="8" t="s">
        <v>120</v>
      </c>
      <c r="P223" s="6" t="s">
        <v>169</v>
      </c>
      <c r="Q223" s="8" t="s">
        <v>45</v>
      </c>
      <c r="R223" s="10" t="s">
        <v>1442</v>
      </c>
      <c r="S223" s="11"/>
      <c r="T223" s="6" t="s">
        <v>633</v>
      </c>
      <c r="U223" s="24" t="str">
        <f>HYPERLINK("https://media.infra-m.ru/2165/2165054/cover/2165054.jpg", "Обложка")</f>
        <v>Обложка</v>
      </c>
      <c r="V223" s="24" t="str">
        <f>HYPERLINK("https://znanium.ru/catalog/product/2165054", "Ознакомиться")</f>
        <v>Ознакомиться</v>
      </c>
      <c r="W223" s="8" t="s">
        <v>708</v>
      </c>
      <c r="X223" s="6"/>
      <c r="Y223" s="6"/>
      <c r="Z223" s="6"/>
      <c r="AA223" s="6" t="s">
        <v>1468</v>
      </c>
      <c r="AB223" s="8"/>
    </row>
    <row r="224" spans="1:28" s="4" customFormat="1" ht="51.95" customHeight="1">
      <c r="A224" s="5">
        <v>0</v>
      </c>
      <c r="B224" s="6" t="s">
        <v>1469</v>
      </c>
      <c r="C224" s="7">
        <v>1140</v>
      </c>
      <c r="D224" s="8" t="s">
        <v>1470</v>
      </c>
      <c r="E224" s="8" t="s">
        <v>1471</v>
      </c>
      <c r="F224" s="8" t="s">
        <v>1440</v>
      </c>
      <c r="G224" s="6" t="s">
        <v>38</v>
      </c>
      <c r="H224" s="6" t="s">
        <v>118</v>
      </c>
      <c r="I224" s="8"/>
      <c r="J224" s="9">
        <v>1</v>
      </c>
      <c r="K224" s="9">
        <v>538</v>
      </c>
      <c r="L224" s="9">
        <v>2017</v>
      </c>
      <c r="M224" s="8" t="s">
        <v>1472</v>
      </c>
      <c r="N224" s="8" t="s">
        <v>119</v>
      </c>
      <c r="O224" s="8" t="s">
        <v>120</v>
      </c>
      <c r="P224" s="6" t="s">
        <v>169</v>
      </c>
      <c r="Q224" s="8" t="s">
        <v>45</v>
      </c>
      <c r="R224" s="10" t="s">
        <v>1442</v>
      </c>
      <c r="S224" s="11"/>
      <c r="T224" s="6" t="s">
        <v>633</v>
      </c>
      <c r="U224" s="24" t="str">
        <f>HYPERLINK("https://media.infra-m.ru/0951/0951721/cover/951721.jpg", "Обложка")</f>
        <v>Обложка</v>
      </c>
      <c r="V224" s="24" t="str">
        <f>HYPERLINK("https://znanium.ru/catalog/product/2165054", "Ознакомиться")</f>
        <v>Ознакомиться</v>
      </c>
      <c r="W224" s="8" t="s">
        <v>708</v>
      </c>
      <c r="X224" s="6"/>
      <c r="Y224" s="6"/>
      <c r="Z224" s="6"/>
      <c r="AA224" s="6" t="s">
        <v>1473</v>
      </c>
      <c r="AB224" s="8"/>
    </row>
    <row r="225" spans="1:28" s="4" customFormat="1" ht="51.95" customHeight="1">
      <c r="A225" s="5">
        <v>0</v>
      </c>
      <c r="B225" s="6" t="s">
        <v>1474</v>
      </c>
      <c r="C225" s="7">
        <v>1800</v>
      </c>
      <c r="D225" s="8" t="s">
        <v>1475</v>
      </c>
      <c r="E225" s="8" t="s">
        <v>1476</v>
      </c>
      <c r="F225" s="8" t="s">
        <v>1440</v>
      </c>
      <c r="G225" s="6" t="s">
        <v>38</v>
      </c>
      <c r="H225" s="6" t="s">
        <v>118</v>
      </c>
      <c r="I225" s="8"/>
      <c r="J225" s="9">
        <v>1</v>
      </c>
      <c r="K225" s="9">
        <v>556</v>
      </c>
      <c r="L225" s="9">
        <v>2018</v>
      </c>
      <c r="M225" s="8" t="s">
        <v>1477</v>
      </c>
      <c r="N225" s="8" t="s">
        <v>119</v>
      </c>
      <c r="O225" s="8" t="s">
        <v>120</v>
      </c>
      <c r="P225" s="6" t="s">
        <v>169</v>
      </c>
      <c r="Q225" s="8" t="s">
        <v>45</v>
      </c>
      <c r="R225" s="10" t="s">
        <v>1442</v>
      </c>
      <c r="S225" s="11"/>
      <c r="T225" s="6" t="s">
        <v>633</v>
      </c>
      <c r="U225" s="24" t="str">
        <f>HYPERLINK("https://media.infra-m.ru/0967/0967316/cover/967316.jpg", "Обложка")</f>
        <v>Обложка</v>
      </c>
      <c r="V225" s="24" t="str">
        <f>HYPERLINK("https://znanium.ru/catalog/product/2165054", "Ознакомиться")</f>
        <v>Ознакомиться</v>
      </c>
      <c r="W225" s="8" t="s">
        <v>708</v>
      </c>
      <c r="X225" s="6"/>
      <c r="Y225" s="6"/>
      <c r="Z225" s="6"/>
      <c r="AA225" s="6" t="s">
        <v>1478</v>
      </c>
      <c r="AB225" s="8"/>
    </row>
    <row r="226" spans="1:28" s="4" customFormat="1" ht="51.95" customHeight="1">
      <c r="A226" s="5">
        <v>0</v>
      </c>
      <c r="B226" s="6" t="s">
        <v>1479</v>
      </c>
      <c r="C226" s="13">
        <v>839.9</v>
      </c>
      <c r="D226" s="8" t="s">
        <v>1480</v>
      </c>
      <c r="E226" s="8" t="s">
        <v>1481</v>
      </c>
      <c r="F226" s="8" t="s">
        <v>1387</v>
      </c>
      <c r="G226" s="6" t="s">
        <v>96</v>
      </c>
      <c r="H226" s="6" t="s">
        <v>167</v>
      </c>
      <c r="I226" s="8" t="s">
        <v>1388</v>
      </c>
      <c r="J226" s="9">
        <v>1</v>
      </c>
      <c r="K226" s="9">
        <v>606</v>
      </c>
      <c r="L226" s="9">
        <v>2014</v>
      </c>
      <c r="M226" s="8" t="s">
        <v>1482</v>
      </c>
      <c r="N226" s="8" t="s">
        <v>119</v>
      </c>
      <c r="O226" s="8" t="s">
        <v>120</v>
      </c>
      <c r="P226" s="6" t="s">
        <v>169</v>
      </c>
      <c r="Q226" s="8" t="s">
        <v>45</v>
      </c>
      <c r="R226" s="10" t="s">
        <v>1483</v>
      </c>
      <c r="S226" s="11"/>
      <c r="T226" s="6"/>
      <c r="U226" s="24" t="str">
        <f>HYPERLINK("https://media.infra-m.ru/0462/0462621/cover/462621.jpg", "Обложка")</f>
        <v>Обложка</v>
      </c>
      <c r="V226" s="24" t="str">
        <f>HYPERLINK("https://znanium.ru/catalog/product/2064556", "Ознакомиться")</f>
        <v>Ознакомиться</v>
      </c>
      <c r="W226" s="8" t="s">
        <v>1391</v>
      </c>
      <c r="X226" s="6"/>
      <c r="Y226" s="6" t="s">
        <v>30</v>
      </c>
      <c r="Z226" s="6"/>
      <c r="AA226" s="6" t="s">
        <v>1414</v>
      </c>
      <c r="AB226" s="8"/>
    </row>
    <row r="227" spans="1:28" s="4" customFormat="1" ht="51.95" customHeight="1">
      <c r="A227" s="5">
        <v>0</v>
      </c>
      <c r="B227" s="6" t="s">
        <v>1484</v>
      </c>
      <c r="C227" s="7">
        <v>3960</v>
      </c>
      <c r="D227" s="8" t="s">
        <v>1485</v>
      </c>
      <c r="E227" s="8" t="s">
        <v>1486</v>
      </c>
      <c r="F227" s="8" t="s">
        <v>1487</v>
      </c>
      <c r="G227" s="6" t="s">
        <v>96</v>
      </c>
      <c r="H227" s="6" t="s">
        <v>167</v>
      </c>
      <c r="I227" s="8" t="s">
        <v>1388</v>
      </c>
      <c r="J227" s="9">
        <v>1</v>
      </c>
      <c r="K227" s="9">
        <v>760</v>
      </c>
      <c r="L227" s="9">
        <v>2025</v>
      </c>
      <c r="M227" s="8" t="s">
        <v>1488</v>
      </c>
      <c r="N227" s="8" t="s">
        <v>119</v>
      </c>
      <c r="O227" s="8" t="s">
        <v>120</v>
      </c>
      <c r="P227" s="6" t="s">
        <v>169</v>
      </c>
      <c r="Q227" s="8" t="s">
        <v>45</v>
      </c>
      <c r="R227" s="10" t="s">
        <v>1483</v>
      </c>
      <c r="S227" s="11"/>
      <c r="T227" s="6"/>
      <c r="U227" s="24" t="str">
        <f>HYPERLINK("https://media.infra-m.ru/2179/2179208/cover/2179208.jpg", "Обложка")</f>
        <v>Обложка</v>
      </c>
      <c r="V227" s="24" t="str">
        <f>HYPERLINK("https://znanium.ru/catalog/product/2064556", "Ознакомиться")</f>
        <v>Ознакомиться</v>
      </c>
      <c r="W227" s="8" t="s">
        <v>1391</v>
      </c>
      <c r="X227" s="6"/>
      <c r="Y227" s="6" t="s">
        <v>30</v>
      </c>
      <c r="Z227" s="6"/>
      <c r="AA227" s="6" t="s">
        <v>1489</v>
      </c>
      <c r="AB227" s="8"/>
    </row>
    <row r="228" spans="1:28" s="4" customFormat="1" ht="42" customHeight="1">
      <c r="A228" s="5">
        <v>0</v>
      </c>
      <c r="B228" s="6" t="s">
        <v>1490</v>
      </c>
      <c r="C228" s="7">
        <v>3472.8</v>
      </c>
      <c r="D228" s="8" t="s">
        <v>1491</v>
      </c>
      <c r="E228" s="8" t="s">
        <v>1492</v>
      </c>
      <c r="F228" s="8" t="s">
        <v>1493</v>
      </c>
      <c r="G228" s="6" t="s">
        <v>62</v>
      </c>
      <c r="H228" s="6" t="s">
        <v>167</v>
      </c>
      <c r="I228" s="8" t="s">
        <v>1388</v>
      </c>
      <c r="J228" s="9">
        <v>1</v>
      </c>
      <c r="K228" s="9">
        <v>752</v>
      </c>
      <c r="L228" s="9">
        <v>2024</v>
      </c>
      <c r="M228" s="8" t="s">
        <v>1494</v>
      </c>
      <c r="N228" s="8" t="s">
        <v>119</v>
      </c>
      <c r="O228" s="8" t="s">
        <v>120</v>
      </c>
      <c r="P228" s="6" t="s">
        <v>169</v>
      </c>
      <c r="Q228" s="8" t="s">
        <v>45</v>
      </c>
      <c r="R228" s="10" t="s">
        <v>1035</v>
      </c>
      <c r="S228" s="11"/>
      <c r="T228" s="6"/>
      <c r="U228" s="24" t="str">
        <f>HYPERLINK("https://media.infra-m.ru/2063/2063442/cover/2063442.jpg", "Обложка")</f>
        <v>Обложка</v>
      </c>
      <c r="V228" s="24" t="str">
        <f>HYPERLINK("https://znanium.ru/catalog/product/1302340", "Ознакомиться")</f>
        <v>Ознакомиться</v>
      </c>
      <c r="W228" s="8" t="s">
        <v>202</v>
      </c>
      <c r="X228" s="6"/>
      <c r="Y228" s="6"/>
      <c r="Z228" s="6"/>
      <c r="AA228" s="6" t="s">
        <v>1495</v>
      </c>
      <c r="AB228" s="8"/>
    </row>
    <row r="229" spans="1:28" s="4" customFormat="1" ht="42" customHeight="1">
      <c r="A229" s="5">
        <v>0</v>
      </c>
      <c r="B229" s="6" t="s">
        <v>1496</v>
      </c>
      <c r="C229" s="7">
        <v>1079.9000000000001</v>
      </c>
      <c r="D229" s="8" t="s">
        <v>1497</v>
      </c>
      <c r="E229" s="8" t="s">
        <v>1498</v>
      </c>
      <c r="F229" s="8" t="s">
        <v>1493</v>
      </c>
      <c r="G229" s="6" t="s">
        <v>1499</v>
      </c>
      <c r="H229" s="6" t="s">
        <v>167</v>
      </c>
      <c r="I229" s="8" t="s">
        <v>1388</v>
      </c>
      <c r="J229" s="9">
        <v>6</v>
      </c>
      <c r="K229" s="9">
        <v>672</v>
      </c>
      <c r="L229" s="9">
        <v>2015</v>
      </c>
      <c r="M229" s="8" t="s">
        <v>1500</v>
      </c>
      <c r="N229" s="8" t="s">
        <v>119</v>
      </c>
      <c r="O229" s="8" t="s">
        <v>120</v>
      </c>
      <c r="P229" s="6" t="s">
        <v>169</v>
      </c>
      <c r="Q229" s="8" t="s">
        <v>45</v>
      </c>
      <c r="R229" s="10" t="s">
        <v>1035</v>
      </c>
      <c r="S229" s="11"/>
      <c r="T229" s="6"/>
      <c r="U229" s="24" t="str">
        <f>HYPERLINK("https://media.infra-m.ru/0513/0513636/cover/513636.jpg", "Обложка")</f>
        <v>Обложка</v>
      </c>
      <c r="V229" s="24" t="str">
        <f>HYPERLINK("https://znanium.ru/catalog/product/1302340", "Ознакомиться")</f>
        <v>Ознакомиться</v>
      </c>
      <c r="W229" s="8" t="s">
        <v>202</v>
      </c>
      <c r="X229" s="6"/>
      <c r="Y229" s="6"/>
      <c r="Z229" s="6"/>
      <c r="AA229" s="6" t="s">
        <v>193</v>
      </c>
      <c r="AB229" s="8"/>
    </row>
    <row r="230" spans="1:28" s="4" customFormat="1" ht="51.95" customHeight="1">
      <c r="A230" s="5">
        <v>0</v>
      </c>
      <c r="B230" s="6" t="s">
        <v>1501</v>
      </c>
      <c r="C230" s="7">
        <v>3036</v>
      </c>
      <c r="D230" s="8" t="s">
        <v>1502</v>
      </c>
      <c r="E230" s="8" t="s">
        <v>1503</v>
      </c>
      <c r="F230" s="8" t="s">
        <v>1504</v>
      </c>
      <c r="G230" s="6" t="s">
        <v>96</v>
      </c>
      <c r="H230" s="6" t="s">
        <v>167</v>
      </c>
      <c r="I230" s="8"/>
      <c r="J230" s="9">
        <v>1</v>
      </c>
      <c r="K230" s="9">
        <v>488</v>
      </c>
      <c r="L230" s="9">
        <v>2026</v>
      </c>
      <c r="M230" s="8" t="s">
        <v>1505</v>
      </c>
      <c r="N230" s="8" t="s">
        <v>119</v>
      </c>
      <c r="O230" s="8" t="s">
        <v>120</v>
      </c>
      <c r="P230" s="6" t="s">
        <v>169</v>
      </c>
      <c r="Q230" s="8" t="s">
        <v>45</v>
      </c>
      <c r="R230" s="10" t="s">
        <v>1506</v>
      </c>
      <c r="S230" s="11"/>
      <c r="T230" s="6"/>
      <c r="U230" s="24" t="str">
        <f>HYPERLINK("https://media.infra-m.ru/2220/2220830/cover/2220830.jpg", "Обложка")</f>
        <v>Обложка</v>
      </c>
      <c r="V230" s="24" t="str">
        <f>HYPERLINK("https://znanium.ru/catalog/product/2220830", "Ознакомиться")</f>
        <v>Ознакомиться</v>
      </c>
      <c r="W230" s="8" t="s">
        <v>1036</v>
      </c>
      <c r="X230" s="6"/>
      <c r="Y230" s="6"/>
      <c r="Z230" s="6"/>
      <c r="AA230" s="6" t="s">
        <v>83</v>
      </c>
      <c r="AB230" s="8"/>
    </row>
    <row r="231" spans="1:28" s="4" customFormat="1" ht="51.95" customHeight="1">
      <c r="A231" s="5">
        <v>0</v>
      </c>
      <c r="B231" s="6" t="s">
        <v>1507</v>
      </c>
      <c r="C231" s="13">
        <v>492</v>
      </c>
      <c r="D231" s="8" t="s">
        <v>1508</v>
      </c>
      <c r="E231" s="8" t="s">
        <v>1509</v>
      </c>
      <c r="F231" s="8" t="s">
        <v>1510</v>
      </c>
      <c r="G231" s="6" t="s">
        <v>38</v>
      </c>
      <c r="H231" s="6" t="s">
        <v>39</v>
      </c>
      <c r="I231" s="8" t="s">
        <v>757</v>
      </c>
      <c r="J231" s="9">
        <v>1</v>
      </c>
      <c r="K231" s="9">
        <v>120</v>
      </c>
      <c r="L231" s="9">
        <v>2019</v>
      </c>
      <c r="M231" s="8" t="s">
        <v>1511</v>
      </c>
      <c r="N231" s="8" t="s">
        <v>119</v>
      </c>
      <c r="O231" s="8" t="s">
        <v>120</v>
      </c>
      <c r="P231" s="6" t="s">
        <v>169</v>
      </c>
      <c r="Q231" s="8" t="s">
        <v>45</v>
      </c>
      <c r="R231" s="10" t="s">
        <v>1035</v>
      </c>
      <c r="S231" s="11"/>
      <c r="T231" s="6"/>
      <c r="U231" s="24" t="str">
        <f>HYPERLINK("https://media.infra-m.ru/1005/1005923/cover/1005923.jpg", "Обложка")</f>
        <v>Обложка</v>
      </c>
      <c r="V231" s="24" t="str">
        <f>HYPERLINK("https://znanium.ru/catalog/product/1005923", "Ознакомиться")</f>
        <v>Ознакомиться</v>
      </c>
      <c r="W231" s="8" t="s">
        <v>505</v>
      </c>
      <c r="X231" s="6"/>
      <c r="Y231" s="6"/>
      <c r="Z231" s="6"/>
      <c r="AA231" s="6" t="s">
        <v>213</v>
      </c>
      <c r="AB231" s="8"/>
    </row>
    <row r="232" spans="1:28" s="4" customFormat="1" ht="42" customHeight="1">
      <c r="A232" s="5">
        <v>0</v>
      </c>
      <c r="B232" s="6" t="s">
        <v>1512</v>
      </c>
      <c r="C232" s="7">
        <v>1008</v>
      </c>
      <c r="D232" s="8" t="s">
        <v>1513</v>
      </c>
      <c r="E232" s="8" t="s">
        <v>1514</v>
      </c>
      <c r="F232" s="8" t="s">
        <v>1515</v>
      </c>
      <c r="G232" s="6" t="s">
        <v>38</v>
      </c>
      <c r="H232" s="6" t="s">
        <v>39</v>
      </c>
      <c r="I232" s="8" t="s">
        <v>757</v>
      </c>
      <c r="J232" s="9">
        <v>1</v>
      </c>
      <c r="K232" s="9">
        <v>212</v>
      </c>
      <c r="L232" s="9">
        <v>2021</v>
      </c>
      <c r="M232" s="8" t="s">
        <v>1516</v>
      </c>
      <c r="N232" s="8" t="s">
        <v>119</v>
      </c>
      <c r="O232" s="8" t="s">
        <v>120</v>
      </c>
      <c r="P232" s="6" t="s">
        <v>169</v>
      </c>
      <c r="Q232" s="8" t="s">
        <v>45</v>
      </c>
      <c r="R232" s="10" t="s">
        <v>1517</v>
      </c>
      <c r="S232" s="11"/>
      <c r="T232" s="6"/>
      <c r="U232" s="24" t="str">
        <f>HYPERLINK("https://media.infra-m.ru/1195/1195494/cover/1195494.jpg", "Обложка")</f>
        <v>Обложка</v>
      </c>
      <c r="V232" s="24" t="str">
        <f>HYPERLINK("https://znanium.ru/catalog/product/1195494", "Ознакомиться")</f>
        <v>Ознакомиться</v>
      </c>
      <c r="W232" s="8" t="s">
        <v>1518</v>
      </c>
      <c r="X232" s="6"/>
      <c r="Y232" s="6"/>
      <c r="Z232" s="6"/>
      <c r="AA232" s="6" t="s">
        <v>213</v>
      </c>
      <c r="AB232" s="8"/>
    </row>
    <row r="233" spans="1:28" s="4" customFormat="1" ht="51.95" customHeight="1">
      <c r="A233" s="5">
        <v>0</v>
      </c>
      <c r="B233" s="6" t="s">
        <v>1519</v>
      </c>
      <c r="C233" s="13">
        <v>672</v>
      </c>
      <c r="D233" s="8" t="s">
        <v>1520</v>
      </c>
      <c r="E233" s="8" t="s">
        <v>1521</v>
      </c>
      <c r="F233" s="8" t="s">
        <v>1522</v>
      </c>
      <c r="G233" s="6" t="s">
        <v>38</v>
      </c>
      <c r="H233" s="6" t="s">
        <v>39</v>
      </c>
      <c r="I233" s="8" t="s">
        <v>757</v>
      </c>
      <c r="J233" s="9">
        <v>1</v>
      </c>
      <c r="K233" s="9">
        <v>184</v>
      </c>
      <c r="L233" s="9">
        <v>2019</v>
      </c>
      <c r="M233" s="8" t="s">
        <v>1523</v>
      </c>
      <c r="N233" s="8" t="s">
        <v>119</v>
      </c>
      <c r="O233" s="8" t="s">
        <v>120</v>
      </c>
      <c r="P233" s="6" t="s">
        <v>169</v>
      </c>
      <c r="Q233" s="8" t="s">
        <v>45</v>
      </c>
      <c r="R233" s="10" t="s">
        <v>1524</v>
      </c>
      <c r="S233" s="11"/>
      <c r="T233" s="6"/>
      <c r="U233" s="24" t="str">
        <f>HYPERLINK("https://media.infra-m.ru/1005/1005924/cover/1005924.jpg", "Обложка")</f>
        <v>Обложка</v>
      </c>
      <c r="V233" s="24" t="str">
        <f>HYPERLINK("https://znanium.ru/catalog/product/1005924", "Ознакомиться")</f>
        <v>Ознакомиться</v>
      </c>
      <c r="W233" s="8" t="s">
        <v>505</v>
      </c>
      <c r="X233" s="6"/>
      <c r="Y233" s="6"/>
      <c r="Z233" s="6"/>
      <c r="AA233" s="6" t="s">
        <v>227</v>
      </c>
      <c r="AB233" s="8"/>
    </row>
    <row r="234" spans="1:28" s="4" customFormat="1" ht="44.1" customHeight="1">
      <c r="A234" s="5">
        <v>0</v>
      </c>
      <c r="B234" s="6" t="s">
        <v>1525</v>
      </c>
      <c r="C234" s="7">
        <v>1416</v>
      </c>
      <c r="D234" s="8" t="s">
        <v>1526</v>
      </c>
      <c r="E234" s="8" t="s">
        <v>1527</v>
      </c>
      <c r="F234" s="8" t="s">
        <v>1528</v>
      </c>
      <c r="G234" s="6" t="s">
        <v>38</v>
      </c>
      <c r="H234" s="6" t="s">
        <v>39</v>
      </c>
      <c r="I234" s="8" t="s">
        <v>1529</v>
      </c>
      <c r="J234" s="9">
        <v>1</v>
      </c>
      <c r="K234" s="9">
        <v>248</v>
      </c>
      <c r="L234" s="9">
        <v>2024</v>
      </c>
      <c r="M234" s="8" t="s">
        <v>1530</v>
      </c>
      <c r="N234" s="8" t="s">
        <v>144</v>
      </c>
      <c r="O234" s="8" t="s">
        <v>145</v>
      </c>
      <c r="P234" s="6" t="s">
        <v>44</v>
      </c>
      <c r="Q234" s="8" t="s">
        <v>45</v>
      </c>
      <c r="R234" s="10" t="s">
        <v>1531</v>
      </c>
      <c r="S234" s="11"/>
      <c r="T234" s="6"/>
      <c r="U234" s="24" t="str">
        <f>HYPERLINK("https://media.infra-m.ru/2078/2078368/cover/2078368.jpg", "Обложка")</f>
        <v>Обложка</v>
      </c>
      <c r="V234" s="12"/>
      <c r="W234" s="8" t="s">
        <v>1532</v>
      </c>
      <c r="X234" s="6"/>
      <c r="Y234" s="6"/>
      <c r="Z234" s="6"/>
      <c r="AA234" s="6" t="s">
        <v>138</v>
      </c>
      <c r="AB234" s="8"/>
    </row>
    <row r="235" spans="1:28" s="4" customFormat="1" ht="42" customHeight="1">
      <c r="A235" s="5">
        <v>0</v>
      </c>
      <c r="B235" s="6" t="s">
        <v>1533</v>
      </c>
      <c r="C235" s="13">
        <v>876</v>
      </c>
      <c r="D235" s="8" t="s">
        <v>1534</v>
      </c>
      <c r="E235" s="8" t="s">
        <v>1535</v>
      </c>
      <c r="F235" s="8" t="s">
        <v>1536</v>
      </c>
      <c r="G235" s="6" t="s">
        <v>38</v>
      </c>
      <c r="H235" s="6" t="s">
        <v>167</v>
      </c>
      <c r="I235" s="8"/>
      <c r="J235" s="9">
        <v>1</v>
      </c>
      <c r="K235" s="9">
        <v>144</v>
      </c>
      <c r="L235" s="9">
        <v>2024</v>
      </c>
      <c r="M235" s="8" t="s">
        <v>1537</v>
      </c>
      <c r="N235" s="8" t="s">
        <v>119</v>
      </c>
      <c r="O235" s="8" t="s">
        <v>120</v>
      </c>
      <c r="P235" s="6" t="s">
        <v>271</v>
      </c>
      <c r="Q235" s="8" t="s">
        <v>45</v>
      </c>
      <c r="R235" s="10" t="s">
        <v>1035</v>
      </c>
      <c r="S235" s="11"/>
      <c r="T235" s="6"/>
      <c r="U235" s="24" t="str">
        <f>HYPERLINK("https://media.infra-m.ru/1938/1938073/cover/1938073.jpg", "Обложка")</f>
        <v>Обложка</v>
      </c>
      <c r="V235" s="24" t="str">
        <f>HYPERLINK("https://znanium.ru/catalog/product/1938073", "Ознакомиться")</f>
        <v>Ознакомиться</v>
      </c>
      <c r="W235" s="8" t="s">
        <v>1538</v>
      </c>
      <c r="X235" s="6"/>
      <c r="Y235" s="6"/>
      <c r="Z235" s="6"/>
      <c r="AA235" s="6" t="s">
        <v>213</v>
      </c>
      <c r="AB235" s="8"/>
    </row>
    <row r="236" spans="1:28" s="4" customFormat="1" ht="42" customHeight="1">
      <c r="A236" s="5">
        <v>0</v>
      </c>
      <c r="B236" s="6" t="s">
        <v>1539</v>
      </c>
      <c r="C236" s="7">
        <v>3762</v>
      </c>
      <c r="D236" s="8" t="s">
        <v>1540</v>
      </c>
      <c r="E236" s="8" t="s">
        <v>1541</v>
      </c>
      <c r="F236" s="8" t="s">
        <v>1542</v>
      </c>
      <c r="G236" s="6" t="s">
        <v>1543</v>
      </c>
      <c r="H236" s="6" t="s">
        <v>167</v>
      </c>
      <c r="I236" s="8"/>
      <c r="J236" s="9">
        <v>1</v>
      </c>
      <c r="K236" s="9">
        <v>1120</v>
      </c>
      <c r="L236" s="9">
        <v>2021</v>
      </c>
      <c r="M236" s="8" t="s">
        <v>1544</v>
      </c>
      <c r="N236" s="8" t="s">
        <v>119</v>
      </c>
      <c r="O236" s="8" t="s">
        <v>120</v>
      </c>
      <c r="P236" s="6" t="s">
        <v>666</v>
      </c>
      <c r="Q236" s="8"/>
      <c r="R236" s="10" t="s">
        <v>1545</v>
      </c>
      <c r="S236" s="11"/>
      <c r="T236" s="6"/>
      <c r="U236" s="24" t="str">
        <f>HYPERLINK("https://media.infra-m.ru/1816/1816622/cover/1816622.jpg", "Обложка")</f>
        <v>Обложка</v>
      </c>
      <c r="V236" s="24" t="str">
        <f>HYPERLINK("https://znanium.ru/catalog/product/1574609", "Ознакомиться")</f>
        <v>Ознакомиться</v>
      </c>
      <c r="W236" s="8"/>
      <c r="X236" s="6"/>
      <c r="Y236" s="6"/>
      <c r="Z236" s="6"/>
      <c r="AA236" s="6" t="s">
        <v>129</v>
      </c>
      <c r="AB236" s="8"/>
    </row>
    <row r="237" spans="1:28" s="4" customFormat="1" ht="51.95" customHeight="1">
      <c r="A237" s="5">
        <v>0</v>
      </c>
      <c r="B237" s="6" t="s">
        <v>1546</v>
      </c>
      <c r="C237" s="7">
        <v>4950</v>
      </c>
      <c r="D237" s="8" t="s">
        <v>1547</v>
      </c>
      <c r="E237" s="8" t="s">
        <v>1548</v>
      </c>
      <c r="F237" s="8" t="s">
        <v>1542</v>
      </c>
      <c r="G237" s="6" t="s">
        <v>1543</v>
      </c>
      <c r="H237" s="6" t="s">
        <v>167</v>
      </c>
      <c r="I237" s="8"/>
      <c r="J237" s="9">
        <v>1</v>
      </c>
      <c r="K237" s="9">
        <v>1168</v>
      </c>
      <c r="L237" s="9">
        <v>2022</v>
      </c>
      <c r="M237" s="8" t="s">
        <v>1549</v>
      </c>
      <c r="N237" s="8" t="s">
        <v>119</v>
      </c>
      <c r="O237" s="8" t="s">
        <v>120</v>
      </c>
      <c r="P237" s="6" t="s">
        <v>666</v>
      </c>
      <c r="Q237" s="8" t="s">
        <v>45</v>
      </c>
      <c r="R237" s="10" t="s">
        <v>1550</v>
      </c>
      <c r="S237" s="11"/>
      <c r="T237" s="6"/>
      <c r="U237" s="24" t="str">
        <f>HYPERLINK("https://media.infra-m.ru/1894/1894390/cover/1894390.jpg", "Обложка")</f>
        <v>Обложка</v>
      </c>
      <c r="V237" s="12"/>
      <c r="W237" s="8" t="s">
        <v>493</v>
      </c>
      <c r="X237" s="6"/>
      <c r="Y237" s="6"/>
      <c r="Z237" s="6"/>
      <c r="AA237" s="6" t="s">
        <v>83</v>
      </c>
      <c r="AB237" s="8"/>
    </row>
    <row r="238" spans="1:28" s="4" customFormat="1" ht="51.95" customHeight="1">
      <c r="A238" s="5">
        <v>0</v>
      </c>
      <c r="B238" s="6" t="s">
        <v>1551</v>
      </c>
      <c r="C238" s="7">
        <v>5544</v>
      </c>
      <c r="D238" s="8" t="s">
        <v>1552</v>
      </c>
      <c r="E238" s="8" t="s">
        <v>1553</v>
      </c>
      <c r="F238" s="8"/>
      <c r="G238" s="6" t="s">
        <v>1543</v>
      </c>
      <c r="H238" s="6" t="s">
        <v>167</v>
      </c>
      <c r="I238" s="8"/>
      <c r="J238" s="9">
        <v>1</v>
      </c>
      <c r="K238" s="9">
        <v>1216</v>
      </c>
      <c r="L238" s="9">
        <v>2023</v>
      </c>
      <c r="M238" s="8" t="s">
        <v>1554</v>
      </c>
      <c r="N238" s="8" t="s">
        <v>119</v>
      </c>
      <c r="O238" s="8" t="s">
        <v>120</v>
      </c>
      <c r="P238" s="6" t="s">
        <v>666</v>
      </c>
      <c r="Q238" s="8" t="s">
        <v>45</v>
      </c>
      <c r="R238" s="10" t="s">
        <v>1555</v>
      </c>
      <c r="S238" s="11"/>
      <c r="T238" s="6"/>
      <c r="U238" s="24" t="str">
        <f>HYPERLINK("https://media.infra-m.ru/2082/2082108/cover/2082108.jpg", "Обложка")</f>
        <v>Обложка</v>
      </c>
      <c r="V238" s="24" t="str">
        <f>HYPERLINK("https://znanium.ru/catalog/product/2037405", "Ознакомиться")</f>
        <v>Ознакомиться</v>
      </c>
      <c r="W238" s="8"/>
      <c r="X238" s="6"/>
      <c r="Y238" s="6"/>
      <c r="Z238" s="6"/>
      <c r="AA238" s="6" t="s">
        <v>91</v>
      </c>
      <c r="AB238" s="8"/>
    </row>
    <row r="239" spans="1:28" s="4" customFormat="1" ht="51.95" customHeight="1">
      <c r="A239" s="5">
        <v>0</v>
      </c>
      <c r="B239" s="6" t="s">
        <v>1556</v>
      </c>
      <c r="C239" s="13">
        <v>436.8</v>
      </c>
      <c r="D239" s="8" t="s">
        <v>1557</v>
      </c>
      <c r="E239" s="8" t="s">
        <v>1558</v>
      </c>
      <c r="F239" s="8"/>
      <c r="G239" s="6" t="s">
        <v>38</v>
      </c>
      <c r="H239" s="6" t="s">
        <v>39</v>
      </c>
      <c r="I239" s="8" t="s">
        <v>629</v>
      </c>
      <c r="J239" s="9">
        <v>1</v>
      </c>
      <c r="K239" s="9">
        <v>70</v>
      </c>
      <c r="L239" s="9">
        <v>2026</v>
      </c>
      <c r="M239" s="8" t="s">
        <v>1559</v>
      </c>
      <c r="N239" s="8" t="s">
        <v>119</v>
      </c>
      <c r="O239" s="8" t="s">
        <v>120</v>
      </c>
      <c r="P239" s="6" t="s">
        <v>631</v>
      </c>
      <c r="Q239" s="8" t="s">
        <v>1435</v>
      </c>
      <c r="R239" s="10" t="s">
        <v>1560</v>
      </c>
      <c r="S239" s="11"/>
      <c r="T239" s="6"/>
      <c r="U239" s="24" t="str">
        <f>HYPERLINK("https://media.infra-m.ru/2216/2216930/cover/2216930.jpg", "Обложка")</f>
        <v>Обложка</v>
      </c>
      <c r="V239" s="24" t="str">
        <f>HYPERLINK("https://znanium.ru/catalog/product/2170991", "Ознакомиться")</f>
        <v>Ознакомиться</v>
      </c>
      <c r="W239" s="8"/>
      <c r="X239" s="6"/>
      <c r="Y239" s="6"/>
      <c r="Z239" s="6"/>
      <c r="AA239" s="6" t="s">
        <v>1561</v>
      </c>
      <c r="AB239" s="8"/>
    </row>
    <row r="240" spans="1:28" s="4" customFormat="1" ht="51.95" customHeight="1">
      <c r="A240" s="5">
        <v>0</v>
      </c>
      <c r="B240" s="6" t="s">
        <v>1562</v>
      </c>
      <c r="C240" s="13">
        <v>828</v>
      </c>
      <c r="D240" s="8" t="s">
        <v>1563</v>
      </c>
      <c r="E240" s="8" t="s">
        <v>1564</v>
      </c>
      <c r="F240" s="8" t="s">
        <v>627</v>
      </c>
      <c r="G240" s="6" t="s">
        <v>38</v>
      </c>
      <c r="H240" s="6" t="s">
        <v>39</v>
      </c>
      <c r="I240" s="8"/>
      <c r="J240" s="9">
        <v>1</v>
      </c>
      <c r="K240" s="9">
        <v>206</v>
      </c>
      <c r="L240" s="9">
        <v>2020</v>
      </c>
      <c r="M240" s="8" t="s">
        <v>1565</v>
      </c>
      <c r="N240" s="8" t="s">
        <v>119</v>
      </c>
      <c r="O240" s="8" t="s">
        <v>120</v>
      </c>
      <c r="P240" s="6" t="s">
        <v>169</v>
      </c>
      <c r="Q240" s="8" t="s">
        <v>45</v>
      </c>
      <c r="R240" s="10" t="s">
        <v>1560</v>
      </c>
      <c r="S240" s="11"/>
      <c r="T240" s="6"/>
      <c r="U240" s="24" t="str">
        <f>HYPERLINK("https://media.infra-m.ru/1063/1063459/cover/1063459.jpg", "Обложка")</f>
        <v>Обложка</v>
      </c>
      <c r="V240" s="24" t="str">
        <f>HYPERLINK("https://znanium.ru/catalog/product/2192386", "Ознакомиться")</f>
        <v>Ознакомиться</v>
      </c>
      <c r="W240" s="8"/>
      <c r="X240" s="6"/>
      <c r="Y240" s="6"/>
      <c r="Z240" s="6"/>
      <c r="AA240" s="6" t="s">
        <v>1566</v>
      </c>
      <c r="AB240" s="8"/>
    </row>
    <row r="241" spans="1:28" s="4" customFormat="1" ht="51.95" customHeight="1">
      <c r="A241" s="5">
        <v>0</v>
      </c>
      <c r="B241" s="6" t="s">
        <v>1567</v>
      </c>
      <c r="C241" s="7">
        <v>1164</v>
      </c>
      <c r="D241" s="8" t="s">
        <v>1568</v>
      </c>
      <c r="E241" s="8" t="s">
        <v>1569</v>
      </c>
      <c r="F241" s="8" t="s">
        <v>627</v>
      </c>
      <c r="G241" s="6" t="s">
        <v>38</v>
      </c>
      <c r="H241" s="6" t="s">
        <v>39</v>
      </c>
      <c r="I241" s="8" t="s">
        <v>629</v>
      </c>
      <c r="J241" s="9">
        <v>1</v>
      </c>
      <c r="K241" s="9">
        <v>256</v>
      </c>
      <c r="L241" s="9">
        <v>2022</v>
      </c>
      <c r="M241" s="8" t="s">
        <v>1570</v>
      </c>
      <c r="N241" s="8" t="s">
        <v>119</v>
      </c>
      <c r="O241" s="8" t="s">
        <v>120</v>
      </c>
      <c r="P241" s="6" t="s">
        <v>169</v>
      </c>
      <c r="Q241" s="8" t="s">
        <v>45</v>
      </c>
      <c r="R241" s="10" t="s">
        <v>1560</v>
      </c>
      <c r="S241" s="11"/>
      <c r="T241" s="6"/>
      <c r="U241" s="24" t="str">
        <f>HYPERLINK("https://media.infra-m.ru/1851/1851674/cover/1851674.jpg", "Обложка")</f>
        <v>Обложка</v>
      </c>
      <c r="V241" s="24" t="str">
        <f>HYPERLINK("https://znanium.ru/catalog/product/2192386", "Ознакомиться")</f>
        <v>Ознакомиться</v>
      </c>
      <c r="W241" s="8"/>
      <c r="X241" s="6"/>
      <c r="Y241" s="6"/>
      <c r="Z241" s="6"/>
      <c r="AA241" s="6" t="s">
        <v>1458</v>
      </c>
      <c r="AB241" s="8"/>
    </row>
    <row r="242" spans="1:28" s="4" customFormat="1" ht="51.95" customHeight="1">
      <c r="A242" s="5">
        <v>0</v>
      </c>
      <c r="B242" s="6" t="s">
        <v>1571</v>
      </c>
      <c r="C242" s="7">
        <v>1600.8</v>
      </c>
      <c r="D242" s="8" t="s">
        <v>1572</v>
      </c>
      <c r="E242" s="8" t="s">
        <v>1573</v>
      </c>
      <c r="F242" s="8" t="s">
        <v>627</v>
      </c>
      <c r="G242" s="6" t="s">
        <v>38</v>
      </c>
      <c r="H242" s="6" t="s">
        <v>39</v>
      </c>
      <c r="I242" s="8" t="s">
        <v>629</v>
      </c>
      <c r="J242" s="9">
        <v>1</v>
      </c>
      <c r="K242" s="9">
        <v>256</v>
      </c>
      <c r="L242" s="9">
        <v>2025</v>
      </c>
      <c r="M242" s="8" t="s">
        <v>1574</v>
      </c>
      <c r="N242" s="8" t="s">
        <v>119</v>
      </c>
      <c r="O242" s="8" t="s">
        <v>120</v>
      </c>
      <c r="P242" s="6" t="s">
        <v>169</v>
      </c>
      <c r="Q242" s="8" t="s">
        <v>45</v>
      </c>
      <c r="R242" s="10" t="s">
        <v>1560</v>
      </c>
      <c r="S242" s="11"/>
      <c r="T242" s="6"/>
      <c r="U242" s="24" t="str">
        <f>HYPERLINK("https://media.infra-m.ru/2201/2201772/cover/2201772.jpg", "Обложка")</f>
        <v>Обложка</v>
      </c>
      <c r="V242" s="24" t="str">
        <f>HYPERLINK("https://znanium.ru/catalog/product/2192386", "Ознакомиться")</f>
        <v>Ознакомиться</v>
      </c>
      <c r="W242" s="8"/>
      <c r="X242" s="6"/>
      <c r="Y242" s="6"/>
      <c r="Z242" s="6"/>
      <c r="AA242" s="6" t="s">
        <v>1575</v>
      </c>
      <c r="AB242" s="8"/>
    </row>
    <row r="243" spans="1:28" s="4" customFormat="1" ht="44.1" customHeight="1">
      <c r="A243" s="5">
        <v>0</v>
      </c>
      <c r="B243" s="6" t="s">
        <v>1576</v>
      </c>
      <c r="C243" s="7">
        <v>1077.5999999999999</v>
      </c>
      <c r="D243" s="8" t="s">
        <v>1577</v>
      </c>
      <c r="E243" s="8" t="s">
        <v>1578</v>
      </c>
      <c r="F243" s="8" t="s">
        <v>627</v>
      </c>
      <c r="G243" s="6" t="s">
        <v>62</v>
      </c>
      <c r="H243" s="6" t="s">
        <v>167</v>
      </c>
      <c r="I243" s="8"/>
      <c r="J243" s="9">
        <v>1</v>
      </c>
      <c r="K243" s="9">
        <v>136</v>
      </c>
      <c r="L243" s="9">
        <v>2026</v>
      </c>
      <c r="M243" s="8" t="s">
        <v>1579</v>
      </c>
      <c r="N243" s="8" t="s">
        <v>119</v>
      </c>
      <c r="O243" s="8" t="s">
        <v>120</v>
      </c>
      <c r="P243" s="6" t="s">
        <v>631</v>
      </c>
      <c r="Q243" s="8" t="s">
        <v>180</v>
      </c>
      <c r="R243" s="10" t="s">
        <v>1580</v>
      </c>
      <c r="S243" s="11"/>
      <c r="T243" s="6"/>
      <c r="U243" s="24" t="str">
        <f>HYPERLINK("https://media.infra-m.ru/2226/2226524/cover/2226524.jpg", "Обложка")</f>
        <v>Обложка</v>
      </c>
      <c r="V243" s="24" t="str">
        <f>HYPERLINK("https://znanium.ru/catalog/product/2133845", "Ознакомиться")</f>
        <v>Ознакомиться</v>
      </c>
      <c r="W243" s="8"/>
      <c r="X243" s="6"/>
      <c r="Y243" s="6"/>
      <c r="Z243" s="6"/>
      <c r="AA243" s="6" t="s">
        <v>129</v>
      </c>
      <c r="AB243" s="8"/>
    </row>
    <row r="244" spans="1:28" s="4" customFormat="1" ht="51.95" customHeight="1">
      <c r="A244" s="5">
        <v>0</v>
      </c>
      <c r="B244" s="6" t="s">
        <v>1581</v>
      </c>
      <c r="C244" s="13">
        <v>720</v>
      </c>
      <c r="D244" s="8" t="s">
        <v>1582</v>
      </c>
      <c r="E244" s="8" t="s">
        <v>1583</v>
      </c>
      <c r="F244" s="8" t="s">
        <v>627</v>
      </c>
      <c r="G244" s="6" t="s">
        <v>96</v>
      </c>
      <c r="H244" s="6" t="s">
        <v>167</v>
      </c>
      <c r="I244" s="8"/>
      <c r="J244" s="9">
        <v>1</v>
      </c>
      <c r="K244" s="9">
        <v>160</v>
      </c>
      <c r="L244" s="9">
        <v>2024</v>
      </c>
      <c r="M244" s="8" t="s">
        <v>1584</v>
      </c>
      <c r="N244" s="8" t="s">
        <v>119</v>
      </c>
      <c r="O244" s="8" t="s">
        <v>120</v>
      </c>
      <c r="P244" s="6" t="s">
        <v>631</v>
      </c>
      <c r="Q244" s="8" t="s">
        <v>426</v>
      </c>
      <c r="R244" s="10" t="s">
        <v>1585</v>
      </c>
      <c r="S244" s="11"/>
      <c r="T244" s="6"/>
      <c r="U244" s="24" t="str">
        <f>HYPERLINK("https://media.infra-m.ru/2134/2134102/cover/2134102.jpg", "Обложка")</f>
        <v>Обложка</v>
      </c>
      <c r="V244" s="24" t="str">
        <f>HYPERLINK("https://znanium.ru/catalog/product/2134102", "Ознакомиться")</f>
        <v>Ознакомиться</v>
      </c>
      <c r="W244" s="8"/>
      <c r="X244" s="6"/>
      <c r="Y244" s="6"/>
      <c r="Z244" s="6"/>
      <c r="AA244" s="6" t="s">
        <v>48</v>
      </c>
      <c r="AB244" s="8"/>
    </row>
    <row r="245" spans="1:28" s="4" customFormat="1" ht="51.95" customHeight="1">
      <c r="A245" s="5">
        <v>0</v>
      </c>
      <c r="B245" s="6" t="s">
        <v>1586</v>
      </c>
      <c r="C245" s="13">
        <v>384</v>
      </c>
      <c r="D245" s="8" t="s">
        <v>1587</v>
      </c>
      <c r="E245" s="8" t="s">
        <v>1588</v>
      </c>
      <c r="F245" s="8" t="s">
        <v>627</v>
      </c>
      <c r="G245" s="6" t="s">
        <v>38</v>
      </c>
      <c r="H245" s="6" t="s">
        <v>167</v>
      </c>
      <c r="I245" s="8"/>
      <c r="J245" s="9">
        <v>1</v>
      </c>
      <c r="K245" s="9">
        <v>120</v>
      </c>
      <c r="L245" s="9">
        <v>2023</v>
      </c>
      <c r="M245" s="8" t="s">
        <v>1589</v>
      </c>
      <c r="N245" s="8" t="s">
        <v>119</v>
      </c>
      <c r="O245" s="8" t="s">
        <v>120</v>
      </c>
      <c r="P245" s="6" t="s">
        <v>631</v>
      </c>
      <c r="Q245" s="8" t="s">
        <v>426</v>
      </c>
      <c r="R245" s="10" t="s">
        <v>1590</v>
      </c>
      <c r="S245" s="11"/>
      <c r="T245" s="6"/>
      <c r="U245" s="24" t="str">
        <f>HYPERLINK("https://media.infra-m.ru/1974/1974286/cover/1974286.jpg", "Обложка")</f>
        <v>Обложка</v>
      </c>
      <c r="V245" s="24" t="str">
        <f>HYPERLINK("https://znanium.ru/catalog/product/1906531", "Ознакомиться")</f>
        <v>Ознакомиться</v>
      </c>
      <c r="W245" s="8"/>
      <c r="X245" s="6"/>
      <c r="Y245" s="6"/>
      <c r="Z245" s="6"/>
      <c r="AA245" s="6" t="s">
        <v>391</v>
      </c>
      <c r="AB245" s="8"/>
    </row>
    <row r="246" spans="1:28" s="4" customFormat="1" ht="42" customHeight="1">
      <c r="A246" s="5">
        <v>0</v>
      </c>
      <c r="B246" s="6" t="s">
        <v>1591</v>
      </c>
      <c r="C246" s="7">
        <v>1068</v>
      </c>
      <c r="D246" s="8" t="s">
        <v>1592</v>
      </c>
      <c r="E246" s="8" t="s">
        <v>1593</v>
      </c>
      <c r="F246" s="8" t="s">
        <v>291</v>
      </c>
      <c r="G246" s="6" t="s">
        <v>38</v>
      </c>
      <c r="H246" s="6" t="s">
        <v>39</v>
      </c>
      <c r="I246" s="8" t="s">
        <v>40</v>
      </c>
      <c r="J246" s="9">
        <v>1</v>
      </c>
      <c r="K246" s="9">
        <v>166</v>
      </c>
      <c r="L246" s="9">
        <v>2025</v>
      </c>
      <c r="M246" s="8" t="s">
        <v>1594</v>
      </c>
      <c r="N246" s="8" t="s">
        <v>42</v>
      </c>
      <c r="O246" s="8" t="s">
        <v>72</v>
      </c>
      <c r="P246" s="6" t="s">
        <v>44</v>
      </c>
      <c r="Q246" s="8" t="s">
        <v>45</v>
      </c>
      <c r="R246" s="10" t="s">
        <v>1027</v>
      </c>
      <c r="S246" s="11"/>
      <c r="T246" s="6"/>
      <c r="U246" s="24" t="str">
        <f>HYPERLINK("https://media.infra-m.ru/2186/2186799/cover/2186799.jpg", "Обложка")</f>
        <v>Обложка</v>
      </c>
      <c r="V246" s="24" t="str">
        <f>HYPERLINK("https://znanium.ru/catalog/product/2186799", "Ознакомиться")</f>
        <v>Ознакомиться</v>
      </c>
      <c r="W246" s="8" t="s">
        <v>293</v>
      </c>
      <c r="X246" s="6" t="s">
        <v>221</v>
      </c>
      <c r="Y246" s="6"/>
      <c r="Z246" s="6"/>
      <c r="AA246" s="6" t="s">
        <v>360</v>
      </c>
      <c r="AB246" s="8" t="s">
        <v>559</v>
      </c>
    </row>
    <row r="247" spans="1:28" s="4" customFormat="1" ht="42" customHeight="1">
      <c r="A247" s="5">
        <v>0</v>
      </c>
      <c r="B247" s="6" t="s">
        <v>1595</v>
      </c>
      <c r="C247" s="7">
        <v>2100</v>
      </c>
      <c r="D247" s="8" t="s">
        <v>1596</v>
      </c>
      <c r="E247" s="8" t="s">
        <v>1597</v>
      </c>
      <c r="F247" s="8" t="s">
        <v>1598</v>
      </c>
      <c r="G247" s="6" t="s">
        <v>38</v>
      </c>
      <c r="H247" s="6" t="s">
        <v>39</v>
      </c>
      <c r="I247" s="8" t="s">
        <v>40</v>
      </c>
      <c r="J247" s="9">
        <v>1</v>
      </c>
      <c r="K247" s="9">
        <v>350</v>
      </c>
      <c r="L247" s="9">
        <v>2025</v>
      </c>
      <c r="M247" s="8" t="s">
        <v>1599</v>
      </c>
      <c r="N247" s="8" t="s">
        <v>42</v>
      </c>
      <c r="O247" s="8" t="s">
        <v>72</v>
      </c>
      <c r="P247" s="6" t="s">
        <v>44</v>
      </c>
      <c r="Q247" s="8" t="s">
        <v>45</v>
      </c>
      <c r="R247" s="10" t="s">
        <v>1600</v>
      </c>
      <c r="S247" s="11"/>
      <c r="T247" s="6"/>
      <c r="U247" s="24" t="str">
        <f>HYPERLINK("https://media.infra-m.ru/2184/2184893/cover/2184893.jpg", "Обложка")</f>
        <v>Обложка</v>
      </c>
      <c r="V247" s="24" t="str">
        <f>HYPERLINK("https://znanium.ru/catalog/product/2184893", "Ознакомиться")</f>
        <v>Ознакомиться</v>
      </c>
      <c r="W247" s="8" t="s">
        <v>1601</v>
      </c>
      <c r="X247" s="6"/>
      <c r="Y247" s="6"/>
      <c r="Z247" s="6"/>
      <c r="AA247" s="6" t="s">
        <v>213</v>
      </c>
      <c r="AB247" s="8"/>
    </row>
    <row r="248" spans="1:28" s="4" customFormat="1" ht="51.95" customHeight="1">
      <c r="A248" s="5">
        <v>0</v>
      </c>
      <c r="B248" s="6" t="s">
        <v>1602</v>
      </c>
      <c r="C248" s="13">
        <v>820.8</v>
      </c>
      <c r="D248" s="8" t="s">
        <v>1603</v>
      </c>
      <c r="E248" s="8" t="s">
        <v>1604</v>
      </c>
      <c r="F248" s="8" t="s">
        <v>1103</v>
      </c>
      <c r="G248" s="6" t="s">
        <v>38</v>
      </c>
      <c r="H248" s="6" t="s">
        <v>39</v>
      </c>
      <c r="I248" s="8" t="s">
        <v>40</v>
      </c>
      <c r="J248" s="9">
        <v>1</v>
      </c>
      <c r="K248" s="9">
        <v>128</v>
      </c>
      <c r="L248" s="9">
        <v>2026</v>
      </c>
      <c r="M248" s="8" t="s">
        <v>1605</v>
      </c>
      <c r="N248" s="8" t="s">
        <v>42</v>
      </c>
      <c r="O248" s="8" t="s">
        <v>72</v>
      </c>
      <c r="P248" s="6" t="s">
        <v>44</v>
      </c>
      <c r="Q248" s="8" t="s">
        <v>45</v>
      </c>
      <c r="R248" s="10" t="s">
        <v>73</v>
      </c>
      <c r="S248" s="11"/>
      <c r="T248" s="6"/>
      <c r="U248" s="24" t="str">
        <f>HYPERLINK("https://media.infra-m.ru/2222/2222249/cover/2222249.jpg", "Обложка")</f>
        <v>Обложка</v>
      </c>
      <c r="V248" s="24" t="str">
        <f>HYPERLINK("https://znanium.ru/catalog/product/1846443", "Ознакомиться")</f>
        <v>Ознакомиться</v>
      </c>
      <c r="W248" s="8" t="s">
        <v>293</v>
      </c>
      <c r="X248" s="6"/>
      <c r="Y248" s="6"/>
      <c r="Z248" s="6"/>
      <c r="AA248" s="6" t="s">
        <v>264</v>
      </c>
      <c r="AB248" s="8"/>
    </row>
    <row r="249" spans="1:28" s="4" customFormat="1" ht="44.1" customHeight="1">
      <c r="A249" s="5">
        <v>0</v>
      </c>
      <c r="B249" s="6" t="s">
        <v>1606</v>
      </c>
      <c r="C249" s="7">
        <v>1332</v>
      </c>
      <c r="D249" s="8" t="s">
        <v>1607</v>
      </c>
      <c r="E249" s="8" t="s">
        <v>1608</v>
      </c>
      <c r="F249" s="8" t="s">
        <v>1609</v>
      </c>
      <c r="G249" s="6" t="s">
        <v>38</v>
      </c>
      <c r="H249" s="6" t="s">
        <v>39</v>
      </c>
      <c r="I249" s="8" t="s">
        <v>40</v>
      </c>
      <c r="J249" s="9">
        <v>1</v>
      </c>
      <c r="K249" s="9">
        <v>217</v>
      </c>
      <c r="L249" s="9">
        <v>2025</v>
      </c>
      <c r="M249" s="8" t="s">
        <v>1610</v>
      </c>
      <c r="N249" s="8" t="s">
        <v>42</v>
      </c>
      <c r="O249" s="8" t="s">
        <v>43</v>
      </c>
      <c r="P249" s="6" t="s">
        <v>44</v>
      </c>
      <c r="Q249" s="8" t="s">
        <v>45</v>
      </c>
      <c r="R249" s="10" t="s">
        <v>1611</v>
      </c>
      <c r="S249" s="11"/>
      <c r="T249" s="6"/>
      <c r="U249" s="24" t="str">
        <f>HYPERLINK("https://media.infra-m.ru/2163/2163761/cover/2163761.jpg", "Обложка")</f>
        <v>Обложка</v>
      </c>
      <c r="V249" s="24" t="str">
        <f>HYPERLINK("https://znanium.ru/catalog/product/2163761", "Ознакомиться")</f>
        <v>Ознакомиться</v>
      </c>
      <c r="W249" s="8" t="s">
        <v>1612</v>
      </c>
      <c r="X249" s="6"/>
      <c r="Y249" s="6"/>
      <c r="Z249" s="6"/>
      <c r="AA249" s="6" t="s">
        <v>91</v>
      </c>
      <c r="AB249" s="8" t="s">
        <v>1613</v>
      </c>
    </row>
    <row r="250" spans="1:28" s="4" customFormat="1" ht="51.95" customHeight="1">
      <c r="A250" s="5">
        <v>0</v>
      </c>
      <c r="B250" s="6" t="s">
        <v>1614</v>
      </c>
      <c r="C250" s="7">
        <v>1252.8</v>
      </c>
      <c r="D250" s="8" t="s">
        <v>1615</v>
      </c>
      <c r="E250" s="8" t="s">
        <v>1616</v>
      </c>
      <c r="F250" s="8" t="s">
        <v>627</v>
      </c>
      <c r="G250" s="6" t="s">
        <v>62</v>
      </c>
      <c r="H250" s="6" t="s">
        <v>39</v>
      </c>
      <c r="I250" s="8" t="s">
        <v>629</v>
      </c>
      <c r="J250" s="9">
        <v>1</v>
      </c>
      <c r="K250" s="9">
        <v>271</v>
      </c>
      <c r="L250" s="9">
        <v>2025</v>
      </c>
      <c r="M250" s="8" t="s">
        <v>1617</v>
      </c>
      <c r="N250" s="8" t="s">
        <v>119</v>
      </c>
      <c r="O250" s="8" t="s">
        <v>915</v>
      </c>
      <c r="P250" s="6" t="s">
        <v>631</v>
      </c>
      <c r="Q250" s="8" t="s">
        <v>1618</v>
      </c>
      <c r="R250" s="10" t="s">
        <v>1619</v>
      </c>
      <c r="S250" s="11" t="s">
        <v>1620</v>
      </c>
      <c r="T250" s="6"/>
      <c r="U250" s="24" t="str">
        <f>HYPERLINK("https://media.infra-m.ru/2205/2205517/cover/2205517.jpg", "Обложка")</f>
        <v>Обложка</v>
      </c>
      <c r="V250" s="24" t="str">
        <f>HYPERLINK("https://znanium.ru/catalog/product/2168889", "Ознакомиться")</f>
        <v>Ознакомиться</v>
      </c>
      <c r="W250" s="8"/>
      <c r="X250" s="6"/>
      <c r="Y250" s="6" t="s">
        <v>30</v>
      </c>
      <c r="Z250" s="6"/>
      <c r="AA250" s="6" t="s">
        <v>1167</v>
      </c>
      <c r="AB250" s="8"/>
    </row>
    <row r="251" spans="1:28" s="4" customFormat="1" ht="51.95" customHeight="1">
      <c r="A251" s="5">
        <v>0</v>
      </c>
      <c r="B251" s="6" t="s">
        <v>1621</v>
      </c>
      <c r="C251" s="13">
        <v>719.9</v>
      </c>
      <c r="D251" s="8" t="s">
        <v>1622</v>
      </c>
      <c r="E251" s="8" t="s">
        <v>1623</v>
      </c>
      <c r="F251" s="8" t="s">
        <v>627</v>
      </c>
      <c r="G251" s="6" t="s">
        <v>62</v>
      </c>
      <c r="H251" s="6" t="s">
        <v>39</v>
      </c>
      <c r="I251" s="8"/>
      <c r="J251" s="9">
        <v>1</v>
      </c>
      <c r="K251" s="9">
        <v>462</v>
      </c>
      <c r="L251" s="9">
        <v>2021</v>
      </c>
      <c r="M251" s="8" t="s">
        <v>1624</v>
      </c>
      <c r="N251" s="8" t="s">
        <v>119</v>
      </c>
      <c r="O251" s="8" t="s">
        <v>915</v>
      </c>
      <c r="P251" s="6" t="s">
        <v>631</v>
      </c>
      <c r="Q251" s="8" t="s">
        <v>1618</v>
      </c>
      <c r="R251" s="10" t="s">
        <v>1619</v>
      </c>
      <c r="S251" s="11" t="s">
        <v>1625</v>
      </c>
      <c r="T251" s="6"/>
      <c r="U251" s="24" t="str">
        <f>HYPERLINK("https://media.infra-m.ru/1142/1142541/cover/1142541.jpg", "Обложка")</f>
        <v>Обложка</v>
      </c>
      <c r="V251" s="24" t="str">
        <f>HYPERLINK("https://znanium.ru/catalog/product/2168889", "Ознакомиться")</f>
        <v>Ознакомиться</v>
      </c>
      <c r="W251" s="8"/>
      <c r="X251" s="6"/>
      <c r="Y251" s="6" t="s">
        <v>30</v>
      </c>
      <c r="Z251" s="6"/>
      <c r="AA251" s="6" t="s">
        <v>213</v>
      </c>
      <c r="AB251" s="8"/>
    </row>
    <row r="252" spans="1:28" s="4" customFormat="1" ht="42" customHeight="1">
      <c r="A252" s="5">
        <v>0</v>
      </c>
      <c r="B252" s="6" t="s">
        <v>1626</v>
      </c>
      <c r="C252" s="7">
        <v>1080</v>
      </c>
      <c r="D252" s="8" t="s">
        <v>1627</v>
      </c>
      <c r="E252" s="8" t="s">
        <v>1628</v>
      </c>
      <c r="F252" s="8" t="s">
        <v>1629</v>
      </c>
      <c r="G252" s="6" t="s">
        <v>96</v>
      </c>
      <c r="H252" s="6" t="s">
        <v>39</v>
      </c>
      <c r="I252" s="8" t="s">
        <v>40</v>
      </c>
      <c r="J252" s="9">
        <v>1</v>
      </c>
      <c r="K252" s="9">
        <v>168</v>
      </c>
      <c r="L252" s="9">
        <v>2025</v>
      </c>
      <c r="M252" s="8" t="s">
        <v>1630</v>
      </c>
      <c r="N252" s="8" t="s">
        <v>144</v>
      </c>
      <c r="O252" s="8" t="s">
        <v>145</v>
      </c>
      <c r="P252" s="6" t="s">
        <v>44</v>
      </c>
      <c r="Q252" s="8" t="s">
        <v>45</v>
      </c>
      <c r="R252" s="10" t="s">
        <v>1631</v>
      </c>
      <c r="S252" s="11"/>
      <c r="T252" s="6"/>
      <c r="U252" s="24" t="str">
        <f>HYPERLINK("https://media.infra-m.ru/2134/2134240/cover/2134240.jpg", "Обложка")</f>
        <v>Обложка</v>
      </c>
      <c r="V252" s="24" t="str">
        <f>HYPERLINK("https://znanium.ru/catalog/product/2134240", "Ознакомиться")</f>
        <v>Ознакомиться</v>
      </c>
      <c r="W252" s="8" t="s">
        <v>651</v>
      </c>
      <c r="X252" s="6"/>
      <c r="Y252" s="6"/>
      <c r="Z252" s="6"/>
      <c r="AA252" s="6" t="s">
        <v>360</v>
      </c>
      <c r="AB252" s="8"/>
    </row>
    <row r="253" spans="1:28" s="4" customFormat="1" ht="51.95" customHeight="1">
      <c r="A253" s="5">
        <v>0</v>
      </c>
      <c r="B253" s="6" t="s">
        <v>1632</v>
      </c>
      <c r="C253" s="7">
        <v>1080</v>
      </c>
      <c r="D253" s="8" t="s">
        <v>1633</v>
      </c>
      <c r="E253" s="8" t="s">
        <v>1634</v>
      </c>
      <c r="F253" s="8" t="s">
        <v>1635</v>
      </c>
      <c r="G253" s="6" t="s">
        <v>62</v>
      </c>
      <c r="H253" s="6" t="s">
        <v>167</v>
      </c>
      <c r="I253" s="8"/>
      <c r="J253" s="9">
        <v>1</v>
      </c>
      <c r="K253" s="9">
        <v>168</v>
      </c>
      <c r="L253" s="9">
        <v>2025</v>
      </c>
      <c r="M253" s="8" t="s">
        <v>1636</v>
      </c>
      <c r="N253" s="8" t="s">
        <v>119</v>
      </c>
      <c r="O253" s="8" t="s">
        <v>120</v>
      </c>
      <c r="P253" s="6" t="s">
        <v>271</v>
      </c>
      <c r="Q253" s="8" t="s">
        <v>45</v>
      </c>
      <c r="R253" s="10" t="s">
        <v>767</v>
      </c>
      <c r="S253" s="11"/>
      <c r="T253" s="6"/>
      <c r="U253" s="24" t="str">
        <f>HYPERLINK("https://media.infra-m.ru/2187/2187212/cover/2187212.jpg", "Обложка")</f>
        <v>Обложка</v>
      </c>
      <c r="V253" s="24" t="str">
        <f>HYPERLINK("https://znanium.ru/catalog/product/2187212", "Ознакомиться")</f>
        <v>Ознакомиться</v>
      </c>
      <c r="W253" s="8" t="s">
        <v>708</v>
      </c>
      <c r="X253" s="6"/>
      <c r="Y253" s="6"/>
      <c r="Z253" s="6"/>
      <c r="AA253" s="6" t="s">
        <v>57</v>
      </c>
      <c r="AB253" s="8"/>
    </row>
    <row r="254" spans="1:28" s="4" customFormat="1" ht="51.95" customHeight="1">
      <c r="A254" s="5">
        <v>0</v>
      </c>
      <c r="B254" s="6" t="s">
        <v>1637</v>
      </c>
      <c r="C254" s="7">
        <v>1107.5999999999999</v>
      </c>
      <c r="D254" s="8" t="s">
        <v>1638</v>
      </c>
      <c r="E254" s="8" t="s">
        <v>1639</v>
      </c>
      <c r="F254" s="8" t="s">
        <v>1640</v>
      </c>
      <c r="G254" s="6" t="s">
        <v>38</v>
      </c>
      <c r="H254" s="6" t="s">
        <v>39</v>
      </c>
      <c r="I254" s="8" t="s">
        <v>1641</v>
      </c>
      <c r="J254" s="9">
        <v>1</v>
      </c>
      <c r="K254" s="9">
        <v>254</v>
      </c>
      <c r="L254" s="9">
        <v>2024</v>
      </c>
      <c r="M254" s="8" t="s">
        <v>1642</v>
      </c>
      <c r="N254" s="8" t="s">
        <v>119</v>
      </c>
      <c r="O254" s="8" t="s">
        <v>270</v>
      </c>
      <c r="P254" s="6" t="s">
        <v>271</v>
      </c>
      <c r="Q254" s="8" t="s">
        <v>45</v>
      </c>
      <c r="R254" s="10" t="s">
        <v>1643</v>
      </c>
      <c r="S254" s="11"/>
      <c r="T254" s="6"/>
      <c r="U254" s="24" t="str">
        <f>HYPERLINK("https://media.infra-m.ru/2170/2170875/cover/2170875.jpg", "Обложка")</f>
        <v>Обложка</v>
      </c>
      <c r="V254" s="24" t="str">
        <f>HYPERLINK("https://znanium.ru/catalog/product/2170875", "Ознакомиться")</f>
        <v>Ознакомиться</v>
      </c>
      <c r="W254" s="8" t="s">
        <v>156</v>
      </c>
      <c r="X254" s="6"/>
      <c r="Y254" s="6"/>
      <c r="Z254" s="6"/>
      <c r="AA254" s="6" t="s">
        <v>977</v>
      </c>
      <c r="AB254" s="8"/>
    </row>
    <row r="255" spans="1:28" s="4" customFormat="1" ht="51.95" customHeight="1">
      <c r="A255" s="5">
        <v>0</v>
      </c>
      <c r="B255" s="6" t="s">
        <v>1644</v>
      </c>
      <c r="C255" s="7">
        <v>1029.5999999999999</v>
      </c>
      <c r="D255" s="8" t="s">
        <v>1645</v>
      </c>
      <c r="E255" s="8" t="s">
        <v>1646</v>
      </c>
      <c r="F255" s="8" t="s">
        <v>1647</v>
      </c>
      <c r="G255" s="6" t="s">
        <v>38</v>
      </c>
      <c r="H255" s="6" t="s">
        <v>39</v>
      </c>
      <c r="I255" s="8" t="s">
        <v>340</v>
      </c>
      <c r="J255" s="9">
        <v>1</v>
      </c>
      <c r="K255" s="9">
        <v>206</v>
      </c>
      <c r="L255" s="9">
        <v>2026</v>
      </c>
      <c r="M255" s="8" t="s">
        <v>1648</v>
      </c>
      <c r="N255" s="8" t="s">
        <v>144</v>
      </c>
      <c r="O255" s="8" t="s">
        <v>145</v>
      </c>
      <c r="P255" s="6" t="s">
        <v>271</v>
      </c>
      <c r="Q255" s="8" t="s">
        <v>1435</v>
      </c>
      <c r="R255" s="10" t="s">
        <v>1649</v>
      </c>
      <c r="S255" s="11"/>
      <c r="T255" s="6"/>
      <c r="U255" s="24" t="str">
        <f>HYPERLINK("https://media.infra-m.ru/2230/2230157/cover/2230157.jpg", "Обложка")</f>
        <v>Обложка</v>
      </c>
      <c r="V255" s="24" t="str">
        <f>HYPERLINK("https://znanium.ru/catalog/product/2221957", "Ознакомиться")</f>
        <v>Ознакомиться</v>
      </c>
      <c r="W255" s="8" t="s">
        <v>1650</v>
      </c>
      <c r="X255" s="6"/>
      <c r="Y255" s="6"/>
      <c r="Z255" s="6"/>
      <c r="AA255" s="6" t="s">
        <v>227</v>
      </c>
      <c r="AB255" s="8"/>
    </row>
    <row r="256" spans="1:28" s="4" customFormat="1" ht="51.95" customHeight="1">
      <c r="A256" s="5">
        <v>0</v>
      </c>
      <c r="B256" s="6" t="s">
        <v>1651</v>
      </c>
      <c r="C256" s="13">
        <v>912</v>
      </c>
      <c r="D256" s="8" t="s">
        <v>1652</v>
      </c>
      <c r="E256" s="8" t="s">
        <v>1653</v>
      </c>
      <c r="F256" s="8" t="s">
        <v>1654</v>
      </c>
      <c r="G256" s="6" t="s">
        <v>38</v>
      </c>
      <c r="H256" s="6" t="s">
        <v>39</v>
      </c>
      <c r="I256" s="8" t="s">
        <v>1641</v>
      </c>
      <c r="J256" s="9">
        <v>1</v>
      </c>
      <c r="K256" s="9">
        <v>224</v>
      </c>
      <c r="L256" s="9">
        <v>2025</v>
      </c>
      <c r="M256" s="8" t="s">
        <v>1655</v>
      </c>
      <c r="N256" s="8" t="s">
        <v>119</v>
      </c>
      <c r="O256" s="8" t="s">
        <v>432</v>
      </c>
      <c r="P256" s="6" t="s">
        <v>271</v>
      </c>
      <c r="Q256" s="8" t="s">
        <v>45</v>
      </c>
      <c r="R256" s="10" t="s">
        <v>1656</v>
      </c>
      <c r="S256" s="11"/>
      <c r="T256" s="6"/>
      <c r="U256" s="24" t="str">
        <f>HYPERLINK("https://media.infra-m.ru/2202/2202511/cover/2202511.jpg", "Обложка")</f>
        <v>Обложка</v>
      </c>
      <c r="V256" s="24" t="str">
        <f>HYPERLINK("https://znanium.ru/catalog/product/2202511", "Ознакомиться")</f>
        <v>Ознакомиться</v>
      </c>
      <c r="W256" s="8" t="s">
        <v>156</v>
      </c>
      <c r="X256" s="6"/>
      <c r="Y256" s="6"/>
      <c r="Z256" s="6"/>
      <c r="AA256" s="6" t="s">
        <v>1657</v>
      </c>
      <c r="AB256" s="8"/>
    </row>
    <row r="257" spans="1:28" s="4" customFormat="1" ht="42" customHeight="1">
      <c r="A257" s="5">
        <v>0</v>
      </c>
      <c r="B257" s="6" t="s">
        <v>1658</v>
      </c>
      <c r="C257" s="13">
        <v>964.8</v>
      </c>
      <c r="D257" s="8" t="s">
        <v>1659</v>
      </c>
      <c r="E257" s="8" t="s">
        <v>1660</v>
      </c>
      <c r="F257" s="8" t="s">
        <v>1661</v>
      </c>
      <c r="G257" s="6" t="s">
        <v>96</v>
      </c>
      <c r="H257" s="6" t="s">
        <v>39</v>
      </c>
      <c r="I257" s="8" t="s">
        <v>1529</v>
      </c>
      <c r="J257" s="9">
        <v>1</v>
      </c>
      <c r="K257" s="9">
        <v>179</v>
      </c>
      <c r="L257" s="9">
        <v>2023</v>
      </c>
      <c r="M257" s="8" t="s">
        <v>1662</v>
      </c>
      <c r="N257" s="8" t="s">
        <v>42</v>
      </c>
      <c r="O257" s="8" t="s">
        <v>72</v>
      </c>
      <c r="P257" s="6" t="s">
        <v>44</v>
      </c>
      <c r="Q257" s="8" t="s">
        <v>45</v>
      </c>
      <c r="R257" s="10" t="s">
        <v>1027</v>
      </c>
      <c r="S257" s="11"/>
      <c r="T257" s="6"/>
      <c r="U257" s="24" t="str">
        <f>HYPERLINK("https://media.infra-m.ru/1859/1859815/cover/1859815.jpg", "Обложка")</f>
        <v>Обложка</v>
      </c>
      <c r="V257" s="12"/>
      <c r="W257" s="8" t="s">
        <v>1532</v>
      </c>
      <c r="X257" s="6"/>
      <c r="Y257" s="6"/>
      <c r="Z257" s="6"/>
      <c r="AA257" s="6" t="s">
        <v>138</v>
      </c>
      <c r="AB257" s="8"/>
    </row>
    <row r="258" spans="1:28" s="4" customFormat="1" ht="51.95" customHeight="1">
      <c r="A258" s="5">
        <v>0</v>
      </c>
      <c r="B258" s="6" t="s">
        <v>1663</v>
      </c>
      <c r="C258" s="7">
        <v>1048.8</v>
      </c>
      <c r="D258" s="8" t="s">
        <v>1664</v>
      </c>
      <c r="E258" s="8" t="s">
        <v>1665</v>
      </c>
      <c r="F258" s="8" t="s">
        <v>291</v>
      </c>
      <c r="G258" s="6" t="s">
        <v>38</v>
      </c>
      <c r="H258" s="6" t="s">
        <v>39</v>
      </c>
      <c r="I258" s="8" t="s">
        <v>40</v>
      </c>
      <c r="J258" s="9">
        <v>1</v>
      </c>
      <c r="K258" s="9">
        <v>193</v>
      </c>
      <c r="L258" s="9">
        <v>2023</v>
      </c>
      <c r="M258" s="8" t="s">
        <v>1666</v>
      </c>
      <c r="N258" s="8" t="s">
        <v>42</v>
      </c>
      <c r="O258" s="8" t="s">
        <v>72</v>
      </c>
      <c r="P258" s="6" t="s">
        <v>44</v>
      </c>
      <c r="Q258" s="8" t="s">
        <v>45</v>
      </c>
      <c r="R258" s="10" t="s">
        <v>73</v>
      </c>
      <c r="S258" s="11"/>
      <c r="T258" s="6"/>
      <c r="U258" s="24" t="str">
        <f>HYPERLINK("https://media.infra-m.ru/2030/2030865/cover/2030865.jpg", "Обложка")</f>
        <v>Обложка</v>
      </c>
      <c r="V258" s="24" t="str">
        <f>HYPERLINK("https://znanium.ru/catalog/product/2030865", "Ознакомиться")</f>
        <v>Ознакомиться</v>
      </c>
      <c r="W258" s="8" t="s">
        <v>293</v>
      </c>
      <c r="X258" s="6"/>
      <c r="Y258" s="6"/>
      <c r="Z258" s="6"/>
      <c r="AA258" s="6" t="s">
        <v>57</v>
      </c>
      <c r="AB258" s="8"/>
    </row>
    <row r="259" spans="1:28" s="4" customFormat="1" ht="44.1" customHeight="1">
      <c r="A259" s="5">
        <v>0</v>
      </c>
      <c r="B259" s="6" t="s">
        <v>1667</v>
      </c>
      <c r="C259" s="13">
        <v>696</v>
      </c>
      <c r="D259" s="8" t="s">
        <v>1668</v>
      </c>
      <c r="E259" s="8" t="s">
        <v>1669</v>
      </c>
      <c r="F259" s="8" t="s">
        <v>313</v>
      </c>
      <c r="G259" s="6" t="s">
        <v>38</v>
      </c>
      <c r="H259" s="6" t="s">
        <v>39</v>
      </c>
      <c r="I259" s="8" t="s">
        <v>40</v>
      </c>
      <c r="J259" s="9">
        <v>1</v>
      </c>
      <c r="K259" s="9">
        <v>137</v>
      </c>
      <c r="L259" s="9">
        <v>2022</v>
      </c>
      <c r="M259" s="8" t="s">
        <v>1670</v>
      </c>
      <c r="N259" s="8" t="s">
        <v>42</v>
      </c>
      <c r="O259" s="8" t="s">
        <v>72</v>
      </c>
      <c r="P259" s="6" t="s">
        <v>44</v>
      </c>
      <c r="Q259" s="8" t="s">
        <v>45</v>
      </c>
      <c r="R259" s="10" t="s">
        <v>1671</v>
      </c>
      <c r="S259" s="11"/>
      <c r="T259" s="6"/>
      <c r="U259" s="24" t="str">
        <f>HYPERLINK("https://media.infra-m.ru/1874/1874581/cover/1874581.jpg", "Обложка")</f>
        <v>Обложка</v>
      </c>
      <c r="V259" s="24" t="str">
        <f>HYPERLINK("https://znanium.ru/catalog/product/1874581", "Ознакомиться")</f>
        <v>Ознакомиться</v>
      </c>
      <c r="W259" s="8" t="s">
        <v>315</v>
      </c>
      <c r="X259" s="6"/>
      <c r="Y259" s="6"/>
      <c r="Z259" s="6"/>
      <c r="AA259" s="6" t="s">
        <v>138</v>
      </c>
      <c r="AB259" s="8"/>
    </row>
    <row r="260" spans="1:28" s="4" customFormat="1" ht="51.95" customHeight="1">
      <c r="A260" s="5">
        <v>0</v>
      </c>
      <c r="B260" s="6" t="s">
        <v>1672</v>
      </c>
      <c r="C260" s="13">
        <v>652.79999999999995</v>
      </c>
      <c r="D260" s="8" t="s">
        <v>1673</v>
      </c>
      <c r="E260" s="8" t="s">
        <v>1674</v>
      </c>
      <c r="F260" s="8" t="s">
        <v>291</v>
      </c>
      <c r="G260" s="6" t="s">
        <v>38</v>
      </c>
      <c r="H260" s="6" t="s">
        <v>39</v>
      </c>
      <c r="I260" s="8" t="s">
        <v>40</v>
      </c>
      <c r="J260" s="9">
        <v>1</v>
      </c>
      <c r="K260" s="9">
        <v>118</v>
      </c>
      <c r="L260" s="9">
        <v>2024</v>
      </c>
      <c r="M260" s="8" t="s">
        <v>1675</v>
      </c>
      <c r="N260" s="8" t="s">
        <v>42</v>
      </c>
      <c r="O260" s="8" t="s">
        <v>72</v>
      </c>
      <c r="P260" s="6" t="s">
        <v>44</v>
      </c>
      <c r="Q260" s="8" t="s">
        <v>45</v>
      </c>
      <c r="R260" s="10" t="s">
        <v>73</v>
      </c>
      <c r="S260" s="11"/>
      <c r="T260" s="6"/>
      <c r="U260" s="24" t="str">
        <f>HYPERLINK("https://media.infra-m.ru/2087/2087280/cover/2087280.jpg", "Обложка")</f>
        <v>Обложка</v>
      </c>
      <c r="V260" s="24" t="str">
        <f>HYPERLINK("https://znanium.ru/catalog/product/1852246", "Ознакомиться")</f>
        <v>Ознакомиться</v>
      </c>
      <c r="W260" s="8" t="s">
        <v>293</v>
      </c>
      <c r="X260" s="6"/>
      <c r="Y260" s="6"/>
      <c r="Z260" s="6"/>
      <c r="AA260" s="6" t="s">
        <v>273</v>
      </c>
      <c r="AB260" s="8"/>
    </row>
    <row r="261" spans="1:28" s="4" customFormat="1" ht="51.95" customHeight="1">
      <c r="A261" s="5">
        <v>0</v>
      </c>
      <c r="B261" s="6" t="s">
        <v>1676</v>
      </c>
      <c r="C261" s="13">
        <v>900</v>
      </c>
      <c r="D261" s="8" t="s">
        <v>1677</v>
      </c>
      <c r="E261" s="8" t="s">
        <v>1678</v>
      </c>
      <c r="F261" s="8" t="s">
        <v>1679</v>
      </c>
      <c r="G261" s="6" t="s">
        <v>38</v>
      </c>
      <c r="H261" s="6" t="s">
        <v>39</v>
      </c>
      <c r="I261" s="8"/>
      <c r="J261" s="9">
        <v>1</v>
      </c>
      <c r="K261" s="9">
        <v>137</v>
      </c>
      <c r="L261" s="9">
        <v>2025</v>
      </c>
      <c r="M261" s="8" t="s">
        <v>1680</v>
      </c>
      <c r="N261" s="8" t="s">
        <v>119</v>
      </c>
      <c r="O261" s="8" t="s">
        <v>270</v>
      </c>
      <c r="P261" s="6" t="s">
        <v>179</v>
      </c>
      <c r="Q261" s="8" t="s">
        <v>45</v>
      </c>
      <c r="R261" s="10" t="s">
        <v>767</v>
      </c>
      <c r="S261" s="11"/>
      <c r="T261" s="6"/>
      <c r="U261" s="24" t="str">
        <f>HYPERLINK("https://media.infra-m.ru/2194/2194979/cover/2194979.jpg", "Обложка")</f>
        <v>Обложка</v>
      </c>
      <c r="V261" s="24" t="str">
        <f>HYPERLINK("https://znanium.ru/catalog/product/2194979", "Ознакомиться")</f>
        <v>Ознакомиться</v>
      </c>
      <c r="W261" s="8" t="s">
        <v>1681</v>
      </c>
      <c r="X261" s="6"/>
      <c r="Y261" s="6"/>
      <c r="Z261" s="6"/>
      <c r="AA261" s="6" t="s">
        <v>138</v>
      </c>
      <c r="AB261" s="8"/>
    </row>
    <row r="262" spans="1:28" s="4" customFormat="1" ht="42" customHeight="1">
      <c r="A262" s="5">
        <v>0</v>
      </c>
      <c r="B262" s="6" t="s">
        <v>1682</v>
      </c>
      <c r="C262" s="13">
        <v>796.8</v>
      </c>
      <c r="D262" s="8" t="s">
        <v>1683</v>
      </c>
      <c r="E262" s="8" t="s">
        <v>1684</v>
      </c>
      <c r="F262" s="8" t="s">
        <v>1685</v>
      </c>
      <c r="G262" s="6" t="s">
        <v>38</v>
      </c>
      <c r="H262" s="6" t="s">
        <v>39</v>
      </c>
      <c r="I262" s="8" t="s">
        <v>40</v>
      </c>
      <c r="J262" s="9">
        <v>1</v>
      </c>
      <c r="K262" s="9">
        <v>120</v>
      </c>
      <c r="L262" s="9">
        <v>2025</v>
      </c>
      <c r="M262" s="8" t="s">
        <v>1686</v>
      </c>
      <c r="N262" s="8" t="s">
        <v>42</v>
      </c>
      <c r="O262" s="8" t="s">
        <v>43</v>
      </c>
      <c r="P262" s="6" t="s">
        <v>44</v>
      </c>
      <c r="Q262" s="8" t="s">
        <v>45</v>
      </c>
      <c r="R262" s="10" t="s">
        <v>1687</v>
      </c>
      <c r="S262" s="11"/>
      <c r="T262" s="6"/>
      <c r="U262" s="24" t="str">
        <f>HYPERLINK("https://media.infra-m.ru/2208/2208454/cover/2208454.jpg", "Обложка")</f>
        <v>Обложка</v>
      </c>
      <c r="V262" s="24" t="str">
        <f>HYPERLINK("https://znanium.ru/catalog/product/967570", "Ознакомиться")</f>
        <v>Ознакомиться</v>
      </c>
      <c r="W262" s="8"/>
      <c r="X262" s="6"/>
      <c r="Y262" s="6"/>
      <c r="Z262" s="6"/>
      <c r="AA262" s="6" t="s">
        <v>1688</v>
      </c>
      <c r="AB262" s="8"/>
    </row>
    <row r="263" spans="1:28" s="4" customFormat="1" ht="51.95" customHeight="1">
      <c r="A263" s="5">
        <v>0</v>
      </c>
      <c r="B263" s="6" t="s">
        <v>1689</v>
      </c>
      <c r="C263" s="7">
        <v>1192.8</v>
      </c>
      <c r="D263" s="8" t="s">
        <v>1690</v>
      </c>
      <c r="E263" s="8" t="s">
        <v>1691</v>
      </c>
      <c r="F263" s="8" t="s">
        <v>53</v>
      </c>
      <c r="G263" s="6" t="s">
        <v>62</v>
      </c>
      <c r="H263" s="6" t="s">
        <v>39</v>
      </c>
      <c r="I263" s="8" t="s">
        <v>40</v>
      </c>
      <c r="J263" s="9">
        <v>1</v>
      </c>
      <c r="K263" s="9">
        <v>181</v>
      </c>
      <c r="L263" s="9">
        <v>2026</v>
      </c>
      <c r="M263" s="8" t="s">
        <v>1692</v>
      </c>
      <c r="N263" s="8" t="s">
        <v>42</v>
      </c>
      <c r="O263" s="8" t="s">
        <v>43</v>
      </c>
      <c r="P263" s="6" t="s">
        <v>44</v>
      </c>
      <c r="Q263" s="8" t="s">
        <v>45</v>
      </c>
      <c r="R263" s="10" t="s">
        <v>1693</v>
      </c>
      <c r="S263" s="11"/>
      <c r="T263" s="6"/>
      <c r="U263" s="24" t="str">
        <f>HYPERLINK("https://media.infra-m.ru/2219/2219037/cover/2219037.jpg", "Обложка")</f>
        <v>Обложка</v>
      </c>
      <c r="V263" s="24" t="str">
        <f>HYPERLINK("https://znanium.ru/catalog/product/2198340", "Ознакомиться")</f>
        <v>Ознакомиться</v>
      </c>
      <c r="W263" s="8" t="s">
        <v>56</v>
      </c>
      <c r="X263" s="6"/>
      <c r="Y263" s="6"/>
      <c r="Z263" s="6"/>
      <c r="AA263" s="6" t="s">
        <v>48</v>
      </c>
      <c r="AB263" s="8"/>
    </row>
    <row r="264" spans="1:28" s="4" customFormat="1" ht="42" customHeight="1">
      <c r="A264" s="5">
        <v>0</v>
      </c>
      <c r="B264" s="6" t="s">
        <v>1694</v>
      </c>
      <c r="C264" s="7">
        <v>3616.8</v>
      </c>
      <c r="D264" s="8" t="s">
        <v>1695</v>
      </c>
      <c r="E264" s="8" t="s">
        <v>1696</v>
      </c>
      <c r="F264" s="8" t="s">
        <v>1697</v>
      </c>
      <c r="G264" s="6" t="s">
        <v>96</v>
      </c>
      <c r="H264" s="6" t="s">
        <v>39</v>
      </c>
      <c r="I264" s="8"/>
      <c r="J264" s="9">
        <v>1</v>
      </c>
      <c r="K264" s="9">
        <v>726</v>
      </c>
      <c r="L264" s="9">
        <v>2021</v>
      </c>
      <c r="M264" s="8" t="s">
        <v>1698</v>
      </c>
      <c r="N264" s="8" t="s">
        <v>42</v>
      </c>
      <c r="O264" s="8" t="s">
        <v>43</v>
      </c>
      <c r="P264" s="6" t="s">
        <v>1083</v>
      </c>
      <c r="Q264" s="8" t="s">
        <v>45</v>
      </c>
      <c r="R264" s="10" t="s">
        <v>1699</v>
      </c>
      <c r="S264" s="11"/>
      <c r="T264" s="6"/>
      <c r="U264" s="24" t="str">
        <f>HYPERLINK("https://media.infra-m.ru/2101/2101609/cover/2101609.jpg", "Обложка")</f>
        <v>Обложка</v>
      </c>
      <c r="V264" s="24" t="str">
        <f>HYPERLINK("https://znanium.ru/catalog/product/2030819", "Ознакомиться")</f>
        <v>Ознакомиться</v>
      </c>
      <c r="W264" s="8" t="s">
        <v>1700</v>
      </c>
      <c r="X264" s="6"/>
      <c r="Y264" s="6"/>
      <c r="Z264" s="6"/>
      <c r="AA264" s="6" t="s">
        <v>129</v>
      </c>
      <c r="AB264" s="8"/>
    </row>
    <row r="265" spans="1:28" s="4" customFormat="1" ht="42" customHeight="1">
      <c r="A265" s="5">
        <v>0</v>
      </c>
      <c r="B265" s="6" t="s">
        <v>1701</v>
      </c>
      <c r="C265" s="7">
        <v>1492.8</v>
      </c>
      <c r="D265" s="8" t="s">
        <v>1702</v>
      </c>
      <c r="E265" s="8" t="s">
        <v>1703</v>
      </c>
      <c r="F265" s="8" t="s">
        <v>1704</v>
      </c>
      <c r="G265" s="6" t="s">
        <v>62</v>
      </c>
      <c r="H265" s="6" t="s">
        <v>39</v>
      </c>
      <c r="I265" s="8" t="s">
        <v>421</v>
      </c>
      <c r="J265" s="9">
        <v>1</v>
      </c>
      <c r="K265" s="9">
        <v>240</v>
      </c>
      <c r="L265" s="9">
        <v>2025</v>
      </c>
      <c r="M265" s="8" t="s">
        <v>1705</v>
      </c>
      <c r="N265" s="8" t="s">
        <v>177</v>
      </c>
      <c r="O265" s="8" t="s">
        <v>565</v>
      </c>
      <c r="P265" s="6" t="s">
        <v>425</v>
      </c>
      <c r="Q265" s="8"/>
      <c r="R265" s="10" t="s">
        <v>1706</v>
      </c>
      <c r="S265" s="11"/>
      <c r="T265" s="6"/>
      <c r="U265" s="24" t="str">
        <f>HYPERLINK("https://media.infra-m.ru/2217/2217146/cover/2217146.jpg", "Обложка")</f>
        <v>Обложка</v>
      </c>
      <c r="V265" s="24" t="str">
        <f>HYPERLINK("https://znanium.ru/catalog/product/2212244", "Ознакомиться")</f>
        <v>Ознакомиться</v>
      </c>
      <c r="W265" s="8" t="s">
        <v>723</v>
      </c>
      <c r="X265" s="6"/>
      <c r="Y265" s="6"/>
      <c r="Z265" s="6"/>
      <c r="AA265" s="6" t="s">
        <v>360</v>
      </c>
      <c r="AB265" s="8"/>
    </row>
    <row r="266" spans="1:28" s="4" customFormat="1" ht="51.95" customHeight="1">
      <c r="A266" s="5">
        <v>0</v>
      </c>
      <c r="B266" s="6" t="s">
        <v>1707</v>
      </c>
      <c r="C266" s="7">
        <v>1828.8</v>
      </c>
      <c r="D266" s="8" t="s">
        <v>1708</v>
      </c>
      <c r="E266" s="8" t="s">
        <v>1709</v>
      </c>
      <c r="F266" s="8" t="s">
        <v>1710</v>
      </c>
      <c r="G266" s="6" t="s">
        <v>96</v>
      </c>
      <c r="H266" s="6" t="s">
        <v>1711</v>
      </c>
      <c r="I266" s="8" t="s">
        <v>40</v>
      </c>
      <c r="J266" s="9">
        <v>1</v>
      </c>
      <c r="K266" s="9">
        <v>336</v>
      </c>
      <c r="L266" s="9">
        <v>2023</v>
      </c>
      <c r="M266" s="8" t="s">
        <v>1712</v>
      </c>
      <c r="N266" s="8" t="s">
        <v>42</v>
      </c>
      <c r="O266" s="8" t="s">
        <v>43</v>
      </c>
      <c r="P266" s="6" t="s">
        <v>44</v>
      </c>
      <c r="Q266" s="8" t="s">
        <v>45</v>
      </c>
      <c r="R266" s="10" t="s">
        <v>1713</v>
      </c>
      <c r="S266" s="11"/>
      <c r="T266" s="6"/>
      <c r="U266" s="24" t="str">
        <f>HYPERLINK("https://media.infra-m.ru/2006/2006069/cover/2006069.jpg", "Обложка")</f>
        <v>Обложка</v>
      </c>
      <c r="V266" s="24" t="str">
        <f>HYPERLINK("https://znanium.ru/catalog/product/952393", "Ознакомиться")</f>
        <v>Ознакомиться</v>
      </c>
      <c r="W266" s="8" t="s">
        <v>309</v>
      </c>
      <c r="X266" s="6"/>
      <c r="Y266" s="6"/>
      <c r="Z266" s="6"/>
      <c r="AA266" s="6" t="s">
        <v>213</v>
      </c>
      <c r="AB266" s="8"/>
    </row>
    <row r="267" spans="1:28" s="4" customFormat="1" ht="51.95" customHeight="1">
      <c r="A267" s="5">
        <v>0</v>
      </c>
      <c r="B267" s="6" t="s">
        <v>1714</v>
      </c>
      <c r="C267" s="13">
        <v>581.9</v>
      </c>
      <c r="D267" s="8" t="s">
        <v>1715</v>
      </c>
      <c r="E267" s="8" t="s">
        <v>1716</v>
      </c>
      <c r="F267" s="8" t="s">
        <v>1717</v>
      </c>
      <c r="G267" s="6" t="s">
        <v>38</v>
      </c>
      <c r="H267" s="6" t="s">
        <v>39</v>
      </c>
      <c r="I267" s="8" t="s">
        <v>40</v>
      </c>
      <c r="J267" s="9">
        <v>1</v>
      </c>
      <c r="K267" s="9">
        <v>108</v>
      </c>
      <c r="L267" s="9">
        <v>2023</v>
      </c>
      <c r="M267" s="8" t="s">
        <v>1718</v>
      </c>
      <c r="N267" s="8" t="s">
        <v>42</v>
      </c>
      <c r="O267" s="8" t="s">
        <v>43</v>
      </c>
      <c r="P267" s="6" t="s">
        <v>44</v>
      </c>
      <c r="Q267" s="8" t="s">
        <v>45</v>
      </c>
      <c r="R267" s="10" t="s">
        <v>1719</v>
      </c>
      <c r="S267" s="11"/>
      <c r="T267" s="6"/>
      <c r="U267" s="24" t="str">
        <f>HYPERLINK("https://media.infra-m.ru/1907/1907367/cover/1907367.jpg", "Обложка")</f>
        <v>Обложка</v>
      </c>
      <c r="V267" s="24" t="str">
        <f>HYPERLINK("https://znanium.ru/catalog/product/1902914", "Ознакомиться")</f>
        <v>Ознакомиться</v>
      </c>
      <c r="W267" s="8" t="s">
        <v>56</v>
      </c>
      <c r="X267" s="6"/>
      <c r="Y267" s="6"/>
      <c r="Z267" s="6"/>
      <c r="AA267" s="6" t="s">
        <v>264</v>
      </c>
      <c r="AB267" s="8"/>
    </row>
    <row r="268" spans="1:28" s="4" customFormat="1" ht="51.95" customHeight="1">
      <c r="A268" s="5">
        <v>0</v>
      </c>
      <c r="B268" s="6" t="s">
        <v>1720</v>
      </c>
      <c r="C268" s="7">
        <v>1128</v>
      </c>
      <c r="D268" s="8" t="s">
        <v>1721</v>
      </c>
      <c r="E268" s="8" t="s">
        <v>1722</v>
      </c>
      <c r="F268" s="8" t="s">
        <v>1723</v>
      </c>
      <c r="G268" s="6" t="s">
        <v>38</v>
      </c>
      <c r="H268" s="6" t="s">
        <v>39</v>
      </c>
      <c r="I268" s="8" t="s">
        <v>40</v>
      </c>
      <c r="J268" s="9">
        <v>1</v>
      </c>
      <c r="K268" s="9">
        <v>169</v>
      </c>
      <c r="L268" s="9">
        <v>2025</v>
      </c>
      <c r="M268" s="8" t="s">
        <v>1724</v>
      </c>
      <c r="N268" s="8" t="s">
        <v>42</v>
      </c>
      <c r="O268" s="8" t="s">
        <v>43</v>
      </c>
      <c r="P268" s="6" t="s">
        <v>44</v>
      </c>
      <c r="Q268" s="8" t="s">
        <v>45</v>
      </c>
      <c r="R268" s="10" t="s">
        <v>1725</v>
      </c>
      <c r="S268" s="11"/>
      <c r="T268" s="6"/>
      <c r="U268" s="24" t="str">
        <f>HYPERLINK("https://media.infra-m.ru/2186/2186791/cover/2186791.jpg", "Обложка")</f>
        <v>Обложка</v>
      </c>
      <c r="V268" s="24" t="str">
        <f>HYPERLINK("https://znanium.ru/catalog/product/2186791", "Ознакомиться")</f>
        <v>Ознакомиться</v>
      </c>
      <c r="W268" s="8" t="s">
        <v>1726</v>
      </c>
      <c r="X268" s="6" t="s">
        <v>359</v>
      </c>
      <c r="Y268" s="6"/>
      <c r="Z268" s="6"/>
      <c r="AA268" s="6" t="s">
        <v>360</v>
      </c>
      <c r="AB268" s="8" t="s">
        <v>559</v>
      </c>
    </row>
    <row r="269" spans="1:28" s="4" customFormat="1" ht="44.1" customHeight="1">
      <c r="A269" s="5">
        <v>0</v>
      </c>
      <c r="B269" s="6" t="s">
        <v>1727</v>
      </c>
      <c r="C269" s="7">
        <v>1428</v>
      </c>
      <c r="D269" s="8" t="s">
        <v>1728</v>
      </c>
      <c r="E269" s="8" t="s">
        <v>1729</v>
      </c>
      <c r="F269" s="8" t="s">
        <v>339</v>
      </c>
      <c r="G269" s="6" t="s">
        <v>62</v>
      </c>
      <c r="H269" s="6" t="s">
        <v>39</v>
      </c>
      <c r="I269" s="8" t="s">
        <v>340</v>
      </c>
      <c r="J269" s="9">
        <v>1</v>
      </c>
      <c r="K269" s="9">
        <v>257</v>
      </c>
      <c r="L269" s="9">
        <v>2023</v>
      </c>
      <c r="M269" s="8" t="s">
        <v>1730</v>
      </c>
      <c r="N269" s="8" t="s">
        <v>42</v>
      </c>
      <c r="O269" s="8" t="s">
        <v>43</v>
      </c>
      <c r="P269" s="6" t="s">
        <v>271</v>
      </c>
      <c r="Q269" s="8" t="s">
        <v>45</v>
      </c>
      <c r="R269" s="10" t="s">
        <v>1731</v>
      </c>
      <c r="S269" s="11"/>
      <c r="T269" s="6"/>
      <c r="U269" s="24" t="str">
        <f>HYPERLINK("https://media.infra-m.ru/1898/1898771/cover/1898771.jpg", "Обложка")</f>
        <v>Обложка</v>
      </c>
      <c r="V269" s="24" t="str">
        <f>HYPERLINK("https://znanium.ru/catalog/product/1898771", "Ознакомиться")</f>
        <v>Ознакомиться</v>
      </c>
      <c r="W269" s="8" t="s">
        <v>343</v>
      </c>
      <c r="X269" s="6"/>
      <c r="Y269" s="6"/>
      <c r="Z269" s="6"/>
      <c r="AA269" s="6" t="s">
        <v>138</v>
      </c>
      <c r="AB269" s="8"/>
    </row>
    <row r="270" spans="1:28" s="4" customFormat="1" ht="44.1" customHeight="1">
      <c r="A270" s="5">
        <v>0</v>
      </c>
      <c r="B270" s="6" t="s">
        <v>1732</v>
      </c>
      <c r="C270" s="7">
        <v>1120.8</v>
      </c>
      <c r="D270" s="8" t="s">
        <v>1733</v>
      </c>
      <c r="E270" s="8" t="s">
        <v>1734</v>
      </c>
      <c r="F270" s="8" t="s">
        <v>1735</v>
      </c>
      <c r="G270" s="6" t="s">
        <v>38</v>
      </c>
      <c r="H270" s="6" t="s">
        <v>39</v>
      </c>
      <c r="I270" s="8" t="s">
        <v>40</v>
      </c>
      <c r="J270" s="9">
        <v>1</v>
      </c>
      <c r="K270" s="9">
        <v>162</v>
      </c>
      <c r="L270" s="9">
        <v>2026</v>
      </c>
      <c r="M270" s="8" t="s">
        <v>1736</v>
      </c>
      <c r="N270" s="8" t="s">
        <v>42</v>
      </c>
      <c r="O270" s="8" t="s">
        <v>43</v>
      </c>
      <c r="P270" s="6" t="s">
        <v>44</v>
      </c>
      <c r="Q270" s="8" t="s">
        <v>45</v>
      </c>
      <c r="R270" s="10" t="s">
        <v>1737</v>
      </c>
      <c r="S270" s="11"/>
      <c r="T270" s="6"/>
      <c r="U270" s="24" t="str">
        <f>HYPERLINK("https://media.infra-m.ru/2213/2213184/cover/2213184.jpg", "Обложка")</f>
        <v>Обложка</v>
      </c>
      <c r="V270" s="24" t="str">
        <f>HYPERLINK("https://znanium.ru/catalog/product/2181457", "Ознакомиться")</f>
        <v>Ознакомиться</v>
      </c>
      <c r="W270" s="8" t="s">
        <v>833</v>
      </c>
      <c r="X270" s="6"/>
      <c r="Y270" s="6"/>
      <c r="Z270" s="6"/>
      <c r="AA270" s="6" t="s">
        <v>48</v>
      </c>
      <c r="AB270" s="8"/>
    </row>
    <row r="271" spans="1:28" s="4" customFormat="1" ht="42" customHeight="1">
      <c r="A271" s="5">
        <v>0</v>
      </c>
      <c r="B271" s="6" t="s">
        <v>1738</v>
      </c>
      <c r="C271" s="13">
        <v>544.79999999999995</v>
      </c>
      <c r="D271" s="8" t="s">
        <v>1739</v>
      </c>
      <c r="E271" s="8" t="s">
        <v>1740</v>
      </c>
      <c r="F271" s="8" t="s">
        <v>1741</v>
      </c>
      <c r="G271" s="6" t="s">
        <v>38</v>
      </c>
      <c r="H271" s="6" t="s">
        <v>39</v>
      </c>
      <c r="I271" s="8" t="s">
        <v>40</v>
      </c>
      <c r="J271" s="9">
        <v>1</v>
      </c>
      <c r="K271" s="9">
        <v>88</v>
      </c>
      <c r="L271" s="9">
        <v>2023</v>
      </c>
      <c r="M271" s="8" t="s">
        <v>1742</v>
      </c>
      <c r="N271" s="8" t="s">
        <v>42</v>
      </c>
      <c r="O271" s="8" t="s">
        <v>43</v>
      </c>
      <c r="P271" s="6" t="s">
        <v>44</v>
      </c>
      <c r="Q271" s="8" t="s">
        <v>45</v>
      </c>
      <c r="R271" s="10" t="s">
        <v>1743</v>
      </c>
      <c r="S271" s="11"/>
      <c r="T271" s="6"/>
      <c r="U271" s="24" t="str">
        <f>HYPERLINK("https://media.infra-m.ru/2067/2067281/cover/2067281.jpg", "Обложка")</f>
        <v>Обложка</v>
      </c>
      <c r="V271" s="24" t="str">
        <f>HYPERLINK("https://znanium.ru/catalog/product/2061518", "Ознакомиться")</f>
        <v>Ознакомиться</v>
      </c>
      <c r="W271" s="8" t="s">
        <v>256</v>
      </c>
      <c r="X271" s="6"/>
      <c r="Y271" s="6"/>
      <c r="Z271" s="6"/>
      <c r="AA271" s="6" t="s">
        <v>57</v>
      </c>
      <c r="AB271" s="8"/>
    </row>
    <row r="272" spans="1:28" s="4" customFormat="1" ht="51.95" customHeight="1">
      <c r="A272" s="5">
        <v>0</v>
      </c>
      <c r="B272" s="6" t="s">
        <v>1744</v>
      </c>
      <c r="C272" s="7">
        <v>1372.8</v>
      </c>
      <c r="D272" s="8" t="s">
        <v>1745</v>
      </c>
      <c r="E272" s="8" t="s">
        <v>1746</v>
      </c>
      <c r="F272" s="8" t="s">
        <v>1747</v>
      </c>
      <c r="G272" s="6" t="s">
        <v>38</v>
      </c>
      <c r="H272" s="6" t="s">
        <v>39</v>
      </c>
      <c r="I272" s="8" t="s">
        <v>40</v>
      </c>
      <c r="J272" s="9">
        <v>1</v>
      </c>
      <c r="K272" s="9">
        <v>219</v>
      </c>
      <c r="L272" s="9">
        <v>2025</v>
      </c>
      <c r="M272" s="8" t="s">
        <v>1748</v>
      </c>
      <c r="N272" s="8" t="s">
        <v>42</v>
      </c>
      <c r="O272" s="8" t="s">
        <v>43</v>
      </c>
      <c r="P272" s="6" t="s">
        <v>44</v>
      </c>
      <c r="Q272" s="8" t="s">
        <v>45</v>
      </c>
      <c r="R272" s="10" t="s">
        <v>1749</v>
      </c>
      <c r="S272" s="11"/>
      <c r="T272" s="6"/>
      <c r="U272" s="24" t="str">
        <f>HYPERLINK("https://media.infra-m.ru/2198/2198918/cover/2198918.jpg", "Обложка")</f>
        <v>Обложка</v>
      </c>
      <c r="V272" s="24" t="str">
        <f>HYPERLINK("https://znanium.ru/catalog/product/1851434", "Ознакомиться")</f>
        <v>Ознакомиться</v>
      </c>
      <c r="W272" s="8" t="s">
        <v>615</v>
      </c>
      <c r="X272" s="6"/>
      <c r="Y272" s="6"/>
      <c r="Z272" s="6"/>
      <c r="AA272" s="6" t="s">
        <v>470</v>
      </c>
      <c r="AB272" s="8"/>
    </row>
    <row r="273" spans="1:28" s="4" customFormat="1" ht="42" customHeight="1">
      <c r="A273" s="5">
        <v>0</v>
      </c>
      <c r="B273" s="6" t="s">
        <v>1750</v>
      </c>
      <c r="C273" s="13">
        <v>760.8</v>
      </c>
      <c r="D273" s="8" t="s">
        <v>1751</v>
      </c>
      <c r="E273" s="8" t="s">
        <v>1752</v>
      </c>
      <c r="F273" s="8" t="s">
        <v>1753</v>
      </c>
      <c r="G273" s="6" t="s">
        <v>38</v>
      </c>
      <c r="H273" s="6" t="s">
        <v>39</v>
      </c>
      <c r="I273" s="8" t="s">
        <v>40</v>
      </c>
      <c r="J273" s="9">
        <v>1</v>
      </c>
      <c r="K273" s="9">
        <v>128</v>
      </c>
      <c r="L273" s="9">
        <v>2024</v>
      </c>
      <c r="M273" s="8" t="s">
        <v>1754</v>
      </c>
      <c r="N273" s="8" t="s">
        <v>42</v>
      </c>
      <c r="O273" s="8" t="s">
        <v>43</v>
      </c>
      <c r="P273" s="6" t="s">
        <v>44</v>
      </c>
      <c r="Q273" s="8" t="s">
        <v>45</v>
      </c>
      <c r="R273" s="10" t="s">
        <v>335</v>
      </c>
      <c r="S273" s="11"/>
      <c r="T273" s="6"/>
      <c r="U273" s="24" t="str">
        <f>HYPERLINK("https://media.infra-m.ru/2170/2170874/cover/2170874.jpg", "Обложка")</f>
        <v>Обложка</v>
      </c>
      <c r="V273" s="24" t="str">
        <f>HYPERLINK("https://znanium.ru/catalog/product/2143204", "Ознакомиться")</f>
        <v>Ознакомиться</v>
      </c>
      <c r="W273" s="8" t="s">
        <v>1755</v>
      </c>
      <c r="X273" s="6"/>
      <c r="Y273" s="6"/>
      <c r="Z273" s="6"/>
      <c r="AA273" s="6" t="s">
        <v>1756</v>
      </c>
      <c r="AB273" s="8"/>
    </row>
    <row r="274" spans="1:28" s="4" customFormat="1" ht="44.1" customHeight="1">
      <c r="A274" s="5">
        <v>0</v>
      </c>
      <c r="B274" s="6" t="s">
        <v>1757</v>
      </c>
      <c r="C274" s="7">
        <v>1252.8</v>
      </c>
      <c r="D274" s="8" t="s">
        <v>1758</v>
      </c>
      <c r="E274" s="8" t="s">
        <v>1759</v>
      </c>
      <c r="F274" s="8" t="s">
        <v>1760</v>
      </c>
      <c r="G274" s="6" t="s">
        <v>62</v>
      </c>
      <c r="H274" s="6" t="s">
        <v>118</v>
      </c>
      <c r="I274" s="8" t="s">
        <v>40</v>
      </c>
      <c r="J274" s="9">
        <v>1</v>
      </c>
      <c r="K274" s="9">
        <v>220</v>
      </c>
      <c r="L274" s="9">
        <v>2024</v>
      </c>
      <c r="M274" s="8" t="s">
        <v>1761</v>
      </c>
      <c r="N274" s="8" t="s">
        <v>42</v>
      </c>
      <c r="O274" s="8" t="s">
        <v>89</v>
      </c>
      <c r="P274" s="6" t="s">
        <v>44</v>
      </c>
      <c r="Q274" s="8" t="s">
        <v>45</v>
      </c>
      <c r="R274" s="10" t="s">
        <v>1762</v>
      </c>
      <c r="S274" s="11"/>
      <c r="T274" s="6"/>
      <c r="U274" s="24" t="str">
        <f>HYPERLINK("https://media.infra-m.ru/2150/2150021/cover/2150021.jpg", "Обложка")</f>
        <v>Обложка</v>
      </c>
      <c r="V274" s="12"/>
      <c r="W274" s="8" t="s">
        <v>768</v>
      </c>
      <c r="X274" s="6"/>
      <c r="Y274" s="6"/>
      <c r="Z274" s="6"/>
      <c r="AA274" s="6" t="s">
        <v>83</v>
      </c>
      <c r="AB274" s="8"/>
    </row>
    <row r="275" spans="1:28" s="4" customFormat="1" ht="42" customHeight="1">
      <c r="A275" s="5">
        <v>0</v>
      </c>
      <c r="B275" s="6" t="s">
        <v>1763</v>
      </c>
      <c r="C275" s="7">
        <v>1816.8</v>
      </c>
      <c r="D275" s="8" t="s">
        <v>1764</v>
      </c>
      <c r="E275" s="8" t="s">
        <v>1765</v>
      </c>
      <c r="F275" s="8" t="s">
        <v>1766</v>
      </c>
      <c r="G275" s="6" t="s">
        <v>38</v>
      </c>
      <c r="H275" s="6" t="s">
        <v>39</v>
      </c>
      <c r="I275" s="8" t="s">
        <v>40</v>
      </c>
      <c r="J275" s="9">
        <v>1</v>
      </c>
      <c r="K275" s="9">
        <v>292</v>
      </c>
      <c r="L275" s="9">
        <v>2025</v>
      </c>
      <c r="M275" s="8" t="s">
        <v>1767</v>
      </c>
      <c r="N275" s="8" t="s">
        <v>42</v>
      </c>
      <c r="O275" s="8" t="s">
        <v>72</v>
      </c>
      <c r="P275" s="6" t="s">
        <v>44</v>
      </c>
      <c r="Q275" s="8" t="s">
        <v>45</v>
      </c>
      <c r="R275" s="10" t="s">
        <v>1768</v>
      </c>
      <c r="S275" s="11"/>
      <c r="T275" s="6"/>
      <c r="U275" s="24" t="str">
        <f>HYPERLINK("https://media.infra-m.ru/2197/2197815/cover/2197815.jpg", "Обложка")</f>
        <v>Обложка</v>
      </c>
      <c r="V275" s="24" t="str">
        <f>HYPERLINK("https://znanium.ru/catalog/product/1991906", "Ознакомиться")</f>
        <v>Ознакомиться</v>
      </c>
      <c r="W275" s="8" t="s">
        <v>1769</v>
      </c>
      <c r="X275" s="6"/>
      <c r="Y275" s="6"/>
      <c r="Z275" s="6"/>
      <c r="AA275" s="6" t="s">
        <v>83</v>
      </c>
      <c r="AB275" s="8"/>
    </row>
    <row r="276" spans="1:28" s="4" customFormat="1" ht="51.95" customHeight="1">
      <c r="A276" s="5">
        <v>0</v>
      </c>
      <c r="B276" s="6" t="s">
        <v>1770</v>
      </c>
      <c r="C276" s="7">
        <v>1320</v>
      </c>
      <c r="D276" s="8" t="s">
        <v>1771</v>
      </c>
      <c r="E276" s="8" t="s">
        <v>1772</v>
      </c>
      <c r="F276" s="8" t="s">
        <v>1773</v>
      </c>
      <c r="G276" s="6" t="s">
        <v>38</v>
      </c>
      <c r="H276" s="6" t="s">
        <v>39</v>
      </c>
      <c r="I276" s="8" t="s">
        <v>40</v>
      </c>
      <c r="J276" s="9">
        <v>1</v>
      </c>
      <c r="K276" s="9">
        <v>237</v>
      </c>
      <c r="L276" s="9">
        <v>2024</v>
      </c>
      <c r="M276" s="8" t="s">
        <v>1774</v>
      </c>
      <c r="N276" s="8" t="s">
        <v>42</v>
      </c>
      <c r="O276" s="8" t="s">
        <v>43</v>
      </c>
      <c r="P276" s="6" t="s">
        <v>44</v>
      </c>
      <c r="Q276" s="8" t="s">
        <v>45</v>
      </c>
      <c r="R276" s="10" t="s">
        <v>1775</v>
      </c>
      <c r="S276" s="11"/>
      <c r="T276" s="6"/>
      <c r="U276" s="24" t="str">
        <f>HYPERLINK("https://media.infra-m.ru/2084/2084492/cover/2084492.jpg", "Обложка")</f>
        <v>Обложка</v>
      </c>
      <c r="V276" s="24" t="str">
        <f>HYPERLINK("https://znanium.ru/catalog/product/2084492", "Ознакомиться")</f>
        <v>Ознакомиться</v>
      </c>
      <c r="W276" s="8" t="s">
        <v>1776</v>
      </c>
      <c r="X276" s="6"/>
      <c r="Y276" s="6"/>
      <c r="Z276" s="6"/>
      <c r="AA276" s="6" t="s">
        <v>264</v>
      </c>
      <c r="AB276" s="8"/>
    </row>
    <row r="277" spans="1:28" s="4" customFormat="1" ht="42" customHeight="1">
      <c r="A277" s="5">
        <v>0</v>
      </c>
      <c r="B277" s="6" t="s">
        <v>1777</v>
      </c>
      <c r="C277" s="7">
        <v>1080</v>
      </c>
      <c r="D277" s="8" t="s">
        <v>1778</v>
      </c>
      <c r="E277" s="8" t="s">
        <v>1779</v>
      </c>
      <c r="F277" s="8" t="s">
        <v>1780</v>
      </c>
      <c r="G277" s="6" t="s">
        <v>96</v>
      </c>
      <c r="H277" s="6" t="s">
        <v>39</v>
      </c>
      <c r="I277" s="8" t="s">
        <v>40</v>
      </c>
      <c r="J277" s="9">
        <v>1</v>
      </c>
      <c r="K277" s="9">
        <v>233</v>
      </c>
      <c r="L277" s="9">
        <v>2021</v>
      </c>
      <c r="M277" s="8" t="s">
        <v>1781</v>
      </c>
      <c r="N277" s="8" t="s">
        <v>144</v>
      </c>
      <c r="O277" s="8" t="s">
        <v>145</v>
      </c>
      <c r="P277" s="6" t="s">
        <v>44</v>
      </c>
      <c r="Q277" s="8" t="s">
        <v>45</v>
      </c>
      <c r="R277" s="10" t="s">
        <v>1782</v>
      </c>
      <c r="S277" s="11"/>
      <c r="T277" s="6"/>
      <c r="U277" s="24" t="str">
        <f>HYPERLINK("https://media.infra-m.ru/1137/1137904/cover/1137904.jpg", "Обложка")</f>
        <v>Обложка</v>
      </c>
      <c r="V277" s="24" t="str">
        <f>HYPERLINK("https://znanium.ru/catalog/product/1208738", "Ознакомиться")</f>
        <v>Ознакомиться</v>
      </c>
      <c r="W277" s="8" t="s">
        <v>1532</v>
      </c>
      <c r="X277" s="6"/>
      <c r="Y277" s="6"/>
      <c r="Z277" s="6"/>
      <c r="AA277" s="6" t="s">
        <v>391</v>
      </c>
      <c r="AB277" s="8"/>
    </row>
    <row r="278" spans="1:28" s="4" customFormat="1" ht="51.95" customHeight="1">
      <c r="A278" s="5">
        <v>0</v>
      </c>
      <c r="B278" s="6" t="s">
        <v>1783</v>
      </c>
      <c r="C278" s="7">
        <v>2620.8000000000002</v>
      </c>
      <c r="D278" s="8" t="s">
        <v>1784</v>
      </c>
      <c r="E278" s="8" t="s">
        <v>1785</v>
      </c>
      <c r="F278" s="8" t="s">
        <v>1786</v>
      </c>
      <c r="G278" s="6" t="s">
        <v>62</v>
      </c>
      <c r="H278" s="6" t="s">
        <v>466</v>
      </c>
      <c r="I278" s="8" t="s">
        <v>1787</v>
      </c>
      <c r="J278" s="9">
        <v>1</v>
      </c>
      <c r="K278" s="9">
        <v>336</v>
      </c>
      <c r="L278" s="9">
        <v>2024</v>
      </c>
      <c r="M278" s="8" t="s">
        <v>1788</v>
      </c>
      <c r="N278" s="8" t="s">
        <v>119</v>
      </c>
      <c r="O278" s="8" t="s">
        <v>432</v>
      </c>
      <c r="P278" s="6" t="s">
        <v>199</v>
      </c>
      <c r="Q278" s="8" t="s">
        <v>200</v>
      </c>
      <c r="R278" s="10" t="s">
        <v>1789</v>
      </c>
      <c r="S278" s="11"/>
      <c r="T278" s="6"/>
      <c r="U278" s="24" t="str">
        <f>HYPERLINK("https://media.infra-m.ru/2113/2113869/cover/2113869.jpg", "Обложка")</f>
        <v>Обложка</v>
      </c>
      <c r="V278" s="24" t="str">
        <f>HYPERLINK("https://znanium.ru/catalog/product/2113869", "Ознакомиться")</f>
        <v>Ознакомиться</v>
      </c>
      <c r="W278" s="8" t="s">
        <v>768</v>
      </c>
      <c r="X278" s="6"/>
      <c r="Y278" s="6"/>
      <c r="Z278" s="6"/>
      <c r="AA278" s="6" t="s">
        <v>470</v>
      </c>
      <c r="AB278" s="8"/>
    </row>
    <row r="279" spans="1:28" s="4" customFormat="1" ht="51.95" customHeight="1">
      <c r="A279" s="5">
        <v>0</v>
      </c>
      <c r="B279" s="6" t="s">
        <v>1790</v>
      </c>
      <c r="C279" s="7">
        <v>1380</v>
      </c>
      <c r="D279" s="8" t="s">
        <v>1791</v>
      </c>
      <c r="E279" s="8" t="s">
        <v>1792</v>
      </c>
      <c r="F279" s="8" t="s">
        <v>297</v>
      </c>
      <c r="G279" s="6" t="s">
        <v>62</v>
      </c>
      <c r="H279" s="6" t="s">
        <v>39</v>
      </c>
      <c r="I279" s="8" t="s">
        <v>40</v>
      </c>
      <c r="J279" s="9">
        <v>1</v>
      </c>
      <c r="K279" s="9">
        <v>248</v>
      </c>
      <c r="L279" s="9">
        <v>2024</v>
      </c>
      <c r="M279" s="8" t="s">
        <v>1793</v>
      </c>
      <c r="N279" s="8" t="s">
        <v>42</v>
      </c>
      <c r="O279" s="8" t="s">
        <v>43</v>
      </c>
      <c r="P279" s="6" t="s">
        <v>44</v>
      </c>
      <c r="Q279" s="8" t="s">
        <v>45</v>
      </c>
      <c r="R279" s="10" t="s">
        <v>1794</v>
      </c>
      <c r="S279" s="11"/>
      <c r="T279" s="6"/>
      <c r="U279" s="24" t="str">
        <f>HYPERLINK("https://media.infra-m.ru/2119/2119968/cover/2119968.jpg", "Обложка")</f>
        <v>Обложка</v>
      </c>
      <c r="V279" s="24" t="str">
        <f>HYPERLINK("https://znanium.ru/catalog/product/2119968", "Ознакомиться")</f>
        <v>Ознакомиться</v>
      </c>
      <c r="W279" s="8" t="s">
        <v>241</v>
      </c>
      <c r="X279" s="6"/>
      <c r="Y279" s="6"/>
      <c r="Z279" s="6"/>
      <c r="AA279" s="6" t="s">
        <v>227</v>
      </c>
      <c r="AB279" s="8"/>
    </row>
    <row r="280" spans="1:28" s="4" customFormat="1" ht="42" customHeight="1">
      <c r="A280" s="5">
        <v>0</v>
      </c>
      <c r="B280" s="6" t="s">
        <v>1795</v>
      </c>
      <c r="C280" s="7">
        <v>1188</v>
      </c>
      <c r="D280" s="8" t="s">
        <v>1796</v>
      </c>
      <c r="E280" s="8" t="s">
        <v>1797</v>
      </c>
      <c r="F280" s="8" t="s">
        <v>1798</v>
      </c>
      <c r="G280" s="6" t="s">
        <v>38</v>
      </c>
      <c r="H280" s="6" t="s">
        <v>39</v>
      </c>
      <c r="I280" s="8" t="s">
        <v>40</v>
      </c>
      <c r="J280" s="9">
        <v>1</v>
      </c>
      <c r="K280" s="9">
        <v>197</v>
      </c>
      <c r="L280" s="9">
        <v>2025</v>
      </c>
      <c r="M280" s="8" t="s">
        <v>1799</v>
      </c>
      <c r="N280" s="8" t="s">
        <v>144</v>
      </c>
      <c r="O280" s="8" t="s">
        <v>145</v>
      </c>
      <c r="P280" s="6" t="s">
        <v>44</v>
      </c>
      <c r="Q280" s="8" t="s">
        <v>45</v>
      </c>
      <c r="R280" s="10" t="s">
        <v>233</v>
      </c>
      <c r="S280" s="11"/>
      <c r="T280" s="6"/>
      <c r="U280" s="24" t="str">
        <f>HYPERLINK("https://media.infra-m.ru/2155/2155768/cover/2155768.jpg", "Обложка")</f>
        <v>Обложка</v>
      </c>
      <c r="V280" s="24" t="str">
        <f>HYPERLINK("https://znanium.ru/catalog/product/2155768", "Ознакомиться")</f>
        <v>Ознакомиться</v>
      </c>
      <c r="W280" s="8" t="s">
        <v>1800</v>
      </c>
      <c r="X280" s="6"/>
      <c r="Y280" s="6"/>
      <c r="Z280" s="6"/>
      <c r="AA280" s="6" t="s">
        <v>360</v>
      </c>
      <c r="AB280" s="8" t="s">
        <v>559</v>
      </c>
    </row>
    <row r="281" spans="1:28" s="4" customFormat="1" ht="42" customHeight="1">
      <c r="A281" s="5">
        <v>0</v>
      </c>
      <c r="B281" s="6" t="s">
        <v>1801</v>
      </c>
      <c r="C281" s="13">
        <v>984</v>
      </c>
      <c r="D281" s="8" t="s">
        <v>1802</v>
      </c>
      <c r="E281" s="8" t="s">
        <v>1803</v>
      </c>
      <c r="F281" s="8" t="s">
        <v>1804</v>
      </c>
      <c r="G281" s="6" t="s">
        <v>38</v>
      </c>
      <c r="H281" s="6" t="s">
        <v>39</v>
      </c>
      <c r="I281" s="8" t="s">
        <v>40</v>
      </c>
      <c r="J281" s="9">
        <v>1</v>
      </c>
      <c r="K281" s="9">
        <v>173</v>
      </c>
      <c r="L281" s="9">
        <v>2022</v>
      </c>
      <c r="M281" s="8" t="s">
        <v>1805</v>
      </c>
      <c r="N281" s="8" t="s">
        <v>144</v>
      </c>
      <c r="O281" s="8" t="s">
        <v>145</v>
      </c>
      <c r="P281" s="6" t="s">
        <v>44</v>
      </c>
      <c r="Q281" s="8" t="s">
        <v>45</v>
      </c>
      <c r="R281" s="10" t="s">
        <v>233</v>
      </c>
      <c r="S281" s="11"/>
      <c r="T281" s="6"/>
      <c r="U281" s="24" t="str">
        <f>HYPERLINK("https://media.infra-m.ru/1859/1859606/cover/1859606.jpg", "Обложка")</f>
        <v>Обложка</v>
      </c>
      <c r="V281" s="24" t="str">
        <f>HYPERLINK("https://znanium.ru/catalog/product/1859606", "Ознакомиться")</f>
        <v>Ознакомиться</v>
      </c>
      <c r="W281" s="8" t="s">
        <v>1806</v>
      </c>
      <c r="X281" s="6"/>
      <c r="Y281" s="6"/>
      <c r="Z281" s="6"/>
      <c r="AA281" s="6" t="s">
        <v>83</v>
      </c>
      <c r="AB281" s="8"/>
    </row>
    <row r="282" spans="1:28" s="4" customFormat="1" ht="51.95" customHeight="1">
      <c r="A282" s="5">
        <v>0</v>
      </c>
      <c r="B282" s="6" t="s">
        <v>1807</v>
      </c>
      <c r="C282" s="7">
        <v>1056</v>
      </c>
      <c r="D282" s="8" t="s">
        <v>1808</v>
      </c>
      <c r="E282" s="8" t="s">
        <v>1809</v>
      </c>
      <c r="F282" s="8" t="s">
        <v>1810</v>
      </c>
      <c r="G282" s="6" t="s">
        <v>38</v>
      </c>
      <c r="H282" s="6" t="s">
        <v>39</v>
      </c>
      <c r="I282" s="8" t="s">
        <v>40</v>
      </c>
      <c r="J282" s="9">
        <v>1</v>
      </c>
      <c r="K282" s="9">
        <v>176</v>
      </c>
      <c r="L282" s="9">
        <v>2025</v>
      </c>
      <c r="M282" s="8" t="s">
        <v>1811</v>
      </c>
      <c r="N282" s="8" t="s">
        <v>42</v>
      </c>
      <c r="O282" s="8" t="s">
        <v>72</v>
      </c>
      <c r="P282" s="6" t="s">
        <v>44</v>
      </c>
      <c r="Q282" s="8" t="s">
        <v>45</v>
      </c>
      <c r="R282" s="10" t="s">
        <v>1812</v>
      </c>
      <c r="S282" s="11"/>
      <c r="T282" s="6"/>
      <c r="U282" s="24" t="str">
        <f>HYPERLINK("https://media.infra-m.ru/2174/2174461/cover/2174461.jpg", "Обложка")</f>
        <v>Обложка</v>
      </c>
      <c r="V282" s="24" t="str">
        <f>HYPERLINK("https://znanium.ru/catalog/product/2174461", "Ознакомиться")</f>
        <v>Ознакомиться</v>
      </c>
      <c r="W282" s="8" t="s">
        <v>1813</v>
      </c>
      <c r="X282" s="6"/>
      <c r="Y282" s="6"/>
      <c r="Z282" s="6"/>
      <c r="AA282" s="6" t="s">
        <v>227</v>
      </c>
      <c r="AB282" s="8"/>
    </row>
    <row r="283" spans="1:28" s="4" customFormat="1" ht="51.95" customHeight="1">
      <c r="A283" s="5">
        <v>0</v>
      </c>
      <c r="B283" s="6" t="s">
        <v>1814</v>
      </c>
      <c r="C283" s="7">
        <v>4070.4</v>
      </c>
      <c r="D283" s="8" t="s">
        <v>1815</v>
      </c>
      <c r="E283" s="8" t="s">
        <v>1816</v>
      </c>
      <c r="F283" s="8" t="s">
        <v>1817</v>
      </c>
      <c r="G283" s="6" t="s">
        <v>96</v>
      </c>
      <c r="H283" s="6" t="s">
        <v>39</v>
      </c>
      <c r="I283" s="8" t="s">
        <v>152</v>
      </c>
      <c r="J283" s="9">
        <v>1</v>
      </c>
      <c r="K283" s="9">
        <v>607</v>
      </c>
      <c r="L283" s="9">
        <v>2025</v>
      </c>
      <c r="M283" s="8" t="s">
        <v>1818</v>
      </c>
      <c r="N283" s="8" t="s">
        <v>177</v>
      </c>
      <c r="O283" s="8" t="s">
        <v>524</v>
      </c>
      <c r="P283" s="6" t="s">
        <v>179</v>
      </c>
      <c r="Q283" s="8" t="s">
        <v>45</v>
      </c>
      <c r="R283" s="10" t="s">
        <v>1819</v>
      </c>
      <c r="S283" s="11"/>
      <c r="T283" s="6"/>
      <c r="U283" s="24" t="str">
        <f>HYPERLINK("https://media.infra-m.ru/2208/2208743/cover/2208743.jpg", "Обложка")</f>
        <v>Обложка</v>
      </c>
      <c r="V283" s="24" t="str">
        <f>HYPERLINK("https://znanium.ru/catalog/product/2208743", "Ознакомиться")</f>
        <v>Ознакомиться</v>
      </c>
      <c r="W283" s="8" t="s">
        <v>1820</v>
      </c>
      <c r="X283" s="6"/>
      <c r="Y283" s="6"/>
      <c r="Z283" s="6"/>
      <c r="AA283" s="6" t="s">
        <v>716</v>
      </c>
      <c r="AB283" s="8"/>
    </row>
    <row r="284" spans="1:28" s="4" customFormat="1" ht="51.95" customHeight="1">
      <c r="A284" s="5">
        <v>0</v>
      </c>
      <c r="B284" s="6" t="s">
        <v>1821</v>
      </c>
      <c r="C284" s="7">
        <v>2513.9</v>
      </c>
      <c r="D284" s="8" t="s">
        <v>1822</v>
      </c>
      <c r="E284" s="8" t="s">
        <v>1823</v>
      </c>
      <c r="F284" s="8" t="s">
        <v>1824</v>
      </c>
      <c r="G284" s="6" t="s">
        <v>96</v>
      </c>
      <c r="H284" s="6" t="s">
        <v>188</v>
      </c>
      <c r="I284" s="8" t="s">
        <v>1255</v>
      </c>
      <c r="J284" s="9">
        <v>1</v>
      </c>
      <c r="K284" s="9">
        <v>608</v>
      </c>
      <c r="L284" s="9">
        <v>2020</v>
      </c>
      <c r="M284" s="8" t="s">
        <v>1825</v>
      </c>
      <c r="N284" s="8" t="s">
        <v>177</v>
      </c>
      <c r="O284" s="8" t="s">
        <v>524</v>
      </c>
      <c r="P284" s="6" t="s">
        <v>154</v>
      </c>
      <c r="Q284" s="8" t="s">
        <v>45</v>
      </c>
      <c r="R284" s="10" t="s">
        <v>1819</v>
      </c>
      <c r="S284" s="11"/>
      <c r="T284" s="6"/>
      <c r="U284" s="24" t="str">
        <f>HYPERLINK("https://media.infra-m.ru/1052/1052196/cover/1052196.jpg", "Обложка")</f>
        <v>Обложка</v>
      </c>
      <c r="V284" s="24" t="str">
        <f>HYPERLINK("https://znanium.ru/catalog/product/2208743", "Ознакомиться")</f>
        <v>Ознакомиться</v>
      </c>
      <c r="W284" s="8" t="s">
        <v>1820</v>
      </c>
      <c r="X284" s="6"/>
      <c r="Y284" s="6"/>
      <c r="Z284" s="6"/>
      <c r="AA284" s="6" t="s">
        <v>227</v>
      </c>
      <c r="AB284" s="8"/>
    </row>
    <row r="285" spans="1:28" s="4" customFormat="1" ht="44.1" customHeight="1">
      <c r="A285" s="5">
        <v>0</v>
      </c>
      <c r="B285" s="6" t="s">
        <v>1826</v>
      </c>
      <c r="C285" s="7">
        <v>3564</v>
      </c>
      <c r="D285" s="8" t="s">
        <v>1827</v>
      </c>
      <c r="E285" s="8" t="s">
        <v>1828</v>
      </c>
      <c r="F285" s="8" t="s">
        <v>1829</v>
      </c>
      <c r="G285" s="6" t="s">
        <v>96</v>
      </c>
      <c r="H285" s="6" t="s">
        <v>167</v>
      </c>
      <c r="I285" s="8"/>
      <c r="J285" s="9">
        <v>1</v>
      </c>
      <c r="K285" s="9">
        <v>464</v>
      </c>
      <c r="L285" s="9">
        <v>2024</v>
      </c>
      <c r="M285" s="8" t="s">
        <v>1830</v>
      </c>
      <c r="N285" s="8" t="s">
        <v>119</v>
      </c>
      <c r="O285" s="8" t="s">
        <v>120</v>
      </c>
      <c r="P285" s="6" t="s">
        <v>248</v>
      </c>
      <c r="Q285" s="8"/>
      <c r="R285" s="10" t="s">
        <v>1831</v>
      </c>
      <c r="S285" s="11"/>
      <c r="T285" s="6"/>
      <c r="U285" s="24" t="str">
        <f>HYPERLINK("https://media.infra-m.ru/2164/2164042/cover/2164042.jpg", "Обложка")</f>
        <v>Обложка</v>
      </c>
      <c r="V285" s="24" t="str">
        <f>HYPERLINK("https://znanium.ru/catalog/product/2156764", "Ознакомиться")</f>
        <v>Ознакомиться</v>
      </c>
      <c r="W285" s="8"/>
      <c r="X285" s="6"/>
      <c r="Y285" s="6"/>
      <c r="Z285" s="6"/>
      <c r="AA285" s="6" t="s">
        <v>48</v>
      </c>
      <c r="AB285" s="8"/>
    </row>
    <row r="286" spans="1:28" s="4" customFormat="1" ht="51.95" customHeight="1">
      <c r="A286" s="5">
        <v>0</v>
      </c>
      <c r="B286" s="6" t="s">
        <v>1832</v>
      </c>
      <c r="C286" s="7">
        <v>2220</v>
      </c>
      <c r="D286" s="8" t="s">
        <v>1833</v>
      </c>
      <c r="E286" s="8" t="s">
        <v>1834</v>
      </c>
      <c r="F286" s="8" t="s">
        <v>161</v>
      </c>
      <c r="G286" s="6" t="s">
        <v>38</v>
      </c>
      <c r="H286" s="6" t="s">
        <v>39</v>
      </c>
      <c r="I286" s="8" t="s">
        <v>40</v>
      </c>
      <c r="J286" s="9">
        <v>1</v>
      </c>
      <c r="K286" s="9">
        <v>392</v>
      </c>
      <c r="L286" s="9">
        <v>2024</v>
      </c>
      <c r="M286" s="8" t="s">
        <v>1835</v>
      </c>
      <c r="N286" s="8" t="s">
        <v>119</v>
      </c>
      <c r="O286" s="8" t="s">
        <v>162</v>
      </c>
      <c r="P286" s="6" t="s">
        <v>248</v>
      </c>
      <c r="Q286" s="8" t="s">
        <v>45</v>
      </c>
      <c r="R286" s="10" t="s">
        <v>1836</v>
      </c>
      <c r="S286" s="11"/>
      <c r="T286" s="6"/>
      <c r="U286" s="24" t="str">
        <f>HYPERLINK("https://media.infra-m.ru/2125/2125045/cover/2125045.jpg", "Обложка")</f>
        <v>Обложка</v>
      </c>
      <c r="V286" s="24" t="str">
        <f>HYPERLINK("https://znanium.ru/catalog/product/2125045", "Ознакомиться")</f>
        <v>Ознакомиться</v>
      </c>
      <c r="W286" s="8" t="s">
        <v>1022</v>
      </c>
      <c r="X286" s="6"/>
      <c r="Y286" s="6"/>
      <c r="Z286" s="6"/>
      <c r="AA286" s="6" t="s">
        <v>48</v>
      </c>
      <c r="AB286" s="8"/>
    </row>
    <row r="287" spans="1:28" s="4" customFormat="1" ht="51.95" customHeight="1">
      <c r="A287" s="5">
        <v>0</v>
      </c>
      <c r="B287" s="6" t="s">
        <v>1837</v>
      </c>
      <c r="C287" s="13">
        <v>972</v>
      </c>
      <c r="D287" s="8" t="s">
        <v>1838</v>
      </c>
      <c r="E287" s="8" t="s">
        <v>1839</v>
      </c>
      <c r="F287" s="8" t="s">
        <v>1840</v>
      </c>
      <c r="G287" s="6" t="s">
        <v>38</v>
      </c>
      <c r="H287" s="6" t="s">
        <v>39</v>
      </c>
      <c r="I287" s="8" t="s">
        <v>1641</v>
      </c>
      <c r="J287" s="9">
        <v>1</v>
      </c>
      <c r="K287" s="9">
        <v>176</v>
      </c>
      <c r="L287" s="9">
        <v>2024</v>
      </c>
      <c r="M287" s="8" t="s">
        <v>1841</v>
      </c>
      <c r="N287" s="8" t="s">
        <v>119</v>
      </c>
      <c r="O287" s="8" t="s">
        <v>162</v>
      </c>
      <c r="P287" s="6" t="s">
        <v>271</v>
      </c>
      <c r="Q287" s="8" t="s">
        <v>45</v>
      </c>
      <c r="R287" s="10" t="s">
        <v>1842</v>
      </c>
      <c r="S287" s="11"/>
      <c r="T287" s="6"/>
      <c r="U287" s="24" t="str">
        <f>HYPERLINK("https://media.infra-m.ru/2106/2106645/cover/2106645.jpg", "Обложка")</f>
        <v>Обложка</v>
      </c>
      <c r="V287" s="24" t="str">
        <f>HYPERLINK("https://znanium.ru/catalog/product/2106645", "Ознакомиться")</f>
        <v>Ознакомиться</v>
      </c>
      <c r="W287" s="8" t="s">
        <v>1843</v>
      </c>
      <c r="X287" s="6"/>
      <c r="Y287" s="6"/>
      <c r="Z287" s="6"/>
      <c r="AA287" s="6" t="s">
        <v>545</v>
      </c>
      <c r="AB287" s="8"/>
    </row>
    <row r="288" spans="1:28" s="4" customFormat="1" ht="44.1" customHeight="1">
      <c r="A288" s="5">
        <v>0</v>
      </c>
      <c r="B288" s="6" t="s">
        <v>1844</v>
      </c>
      <c r="C288" s="7">
        <v>2616</v>
      </c>
      <c r="D288" s="8" t="s">
        <v>1845</v>
      </c>
      <c r="E288" s="8" t="s">
        <v>1846</v>
      </c>
      <c r="F288" s="8" t="s">
        <v>1847</v>
      </c>
      <c r="G288" s="6" t="s">
        <v>96</v>
      </c>
      <c r="H288" s="6" t="s">
        <v>39</v>
      </c>
      <c r="I288" s="8" t="s">
        <v>152</v>
      </c>
      <c r="J288" s="9">
        <v>1</v>
      </c>
      <c r="K288" s="9">
        <v>474</v>
      </c>
      <c r="L288" s="9">
        <v>2024</v>
      </c>
      <c r="M288" s="8" t="s">
        <v>1848</v>
      </c>
      <c r="N288" s="8" t="s">
        <v>119</v>
      </c>
      <c r="O288" s="8" t="s">
        <v>162</v>
      </c>
      <c r="P288" s="6" t="s">
        <v>154</v>
      </c>
      <c r="Q288" s="8" t="s">
        <v>180</v>
      </c>
      <c r="R288" s="10" t="s">
        <v>1849</v>
      </c>
      <c r="S288" s="11"/>
      <c r="T288" s="6"/>
      <c r="U288" s="24" t="str">
        <f>HYPERLINK("https://media.infra-m.ru/2106/2106649/cover/2106649.jpg", "Обложка")</f>
        <v>Обложка</v>
      </c>
      <c r="V288" s="24" t="str">
        <f>HYPERLINK("https://znanium.ru/catalog/product/2106649", "Ознакомиться")</f>
        <v>Ознакомиться</v>
      </c>
      <c r="W288" s="8" t="s">
        <v>929</v>
      </c>
      <c r="X288" s="6"/>
      <c r="Y288" s="6"/>
      <c r="Z288" s="6"/>
      <c r="AA288" s="6" t="s">
        <v>213</v>
      </c>
      <c r="AB288" s="8"/>
    </row>
    <row r="289" spans="1:28" s="4" customFormat="1" ht="51.95" customHeight="1">
      <c r="A289" s="5">
        <v>0</v>
      </c>
      <c r="B289" s="6" t="s">
        <v>1850</v>
      </c>
      <c r="C289" s="7">
        <v>1000.8</v>
      </c>
      <c r="D289" s="8" t="s">
        <v>1851</v>
      </c>
      <c r="E289" s="8" t="s">
        <v>1852</v>
      </c>
      <c r="F289" s="8" t="s">
        <v>1853</v>
      </c>
      <c r="G289" s="6" t="s">
        <v>38</v>
      </c>
      <c r="H289" s="6" t="s">
        <v>531</v>
      </c>
      <c r="I289" s="8" t="s">
        <v>532</v>
      </c>
      <c r="J289" s="9">
        <v>1</v>
      </c>
      <c r="K289" s="9">
        <v>160</v>
      </c>
      <c r="L289" s="9">
        <v>2026</v>
      </c>
      <c r="M289" s="8" t="s">
        <v>1854</v>
      </c>
      <c r="N289" s="8" t="s">
        <v>42</v>
      </c>
      <c r="O289" s="8" t="s">
        <v>89</v>
      </c>
      <c r="P289" s="6" t="s">
        <v>44</v>
      </c>
      <c r="Q289" s="8" t="s">
        <v>45</v>
      </c>
      <c r="R289" s="10" t="s">
        <v>1855</v>
      </c>
      <c r="S289" s="11"/>
      <c r="T289" s="6"/>
      <c r="U289" s="24" t="str">
        <f>HYPERLINK("https://media.infra-m.ru/2216/2216833/cover/2216833.jpg", "Обложка")</f>
        <v>Обложка</v>
      </c>
      <c r="V289" s="24" t="str">
        <f>HYPERLINK("https://znanium.ru/catalog/product/2215350", "Ознакомиться")</f>
        <v>Ознакомиться</v>
      </c>
      <c r="W289" s="8" t="s">
        <v>1277</v>
      </c>
      <c r="X289" s="6"/>
      <c r="Y289" s="6"/>
      <c r="Z289" s="6"/>
      <c r="AA289" s="6" t="s">
        <v>213</v>
      </c>
      <c r="AB289" s="8"/>
    </row>
    <row r="290" spans="1:28" s="4" customFormat="1" ht="51.95" customHeight="1">
      <c r="A290" s="5">
        <v>0</v>
      </c>
      <c r="B290" s="6" t="s">
        <v>1856</v>
      </c>
      <c r="C290" s="13">
        <v>940.8</v>
      </c>
      <c r="D290" s="8" t="s">
        <v>1857</v>
      </c>
      <c r="E290" s="8" t="s">
        <v>1858</v>
      </c>
      <c r="F290" s="8" t="s">
        <v>1859</v>
      </c>
      <c r="G290" s="6" t="s">
        <v>38</v>
      </c>
      <c r="H290" s="6" t="s">
        <v>39</v>
      </c>
      <c r="I290" s="8" t="s">
        <v>40</v>
      </c>
      <c r="J290" s="9">
        <v>1</v>
      </c>
      <c r="K290" s="9">
        <v>150</v>
      </c>
      <c r="L290" s="9">
        <v>2025</v>
      </c>
      <c r="M290" s="8" t="s">
        <v>1860</v>
      </c>
      <c r="N290" s="8" t="s">
        <v>42</v>
      </c>
      <c r="O290" s="8" t="s">
        <v>72</v>
      </c>
      <c r="P290" s="6" t="s">
        <v>44</v>
      </c>
      <c r="Q290" s="8" t="s">
        <v>45</v>
      </c>
      <c r="R290" s="10" t="s">
        <v>1861</v>
      </c>
      <c r="S290" s="11"/>
      <c r="T290" s="6"/>
      <c r="U290" s="24" t="str">
        <f>HYPERLINK("https://media.infra-m.ru/2200/2200101/cover/2200101.jpg", "Обложка")</f>
        <v>Обложка</v>
      </c>
      <c r="V290" s="24" t="str">
        <f>HYPERLINK("https://znanium.ru/catalog/product/2161728", "Ознакомиться")</f>
        <v>Ознакомиться</v>
      </c>
      <c r="W290" s="8" t="s">
        <v>1862</v>
      </c>
      <c r="X290" s="6"/>
      <c r="Y290" s="6"/>
      <c r="Z290" s="6"/>
      <c r="AA290" s="6" t="s">
        <v>138</v>
      </c>
      <c r="AB290" s="8"/>
    </row>
    <row r="291" spans="1:28" s="4" customFormat="1" ht="51.95" customHeight="1">
      <c r="A291" s="5">
        <v>0</v>
      </c>
      <c r="B291" s="6" t="s">
        <v>1863</v>
      </c>
      <c r="C291" s="7">
        <v>1728</v>
      </c>
      <c r="D291" s="8" t="s">
        <v>1864</v>
      </c>
      <c r="E291" s="8" t="s">
        <v>1865</v>
      </c>
      <c r="F291" s="8" t="s">
        <v>1866</v>
      </c>
      <c r="G291" s="6" t="s">
        <v>38</v>
      </c>
      <c r="H291" s="6" t="s">
        <v>39</v>
      </c>
      <c r="I291" s="8" t="s">
        <v>40</v>
      </c>
      <c r="J291" s="9">
        <v>1</v>
      </c>
      <c r="K291" s="9">
        <v>312</v>
      </c>
      <c r="L291" s="9">
        <v>2023</v>
      </c>
      <c r="M291" s="8" t="s">
        <v>1867</v>
      </c>
      <c r="N291" s="8" t="s">
        <v>42</v>
      </c>
      <c r="O291" s="8" t="s">
        <v>72</v>
      </c>
      <c r="P291" s="6" t="s">
        <v>44</v>
      </c>
      <c r="Q291" s="8" t="s">
        <v>45</v>
      </c>
      <c r="R291" s="10" t="s">
        <v>1868</v>
      </c>
      <c r="S291" s="11"/>
      <c r="T291" s="6"/>
      <c r="U291" s="24" t="str">
        <f>HYPERLINK("https://media.infra-m.ru/2019/2019753/cover/2019753.jpg", "Обложка")</f>
        <v>Обложка</v>
      </c>
      <c r="V291" s="24" t="str">
        <f>HYPERLINK("https://znanium.ru/catalog/product/2019753", "Ознакомиться")</f>
        <v>Ознакомиться</v>
      </c>
      <c r="W291" s="8" t="s">
        <v>760</v>
      </c>
      <c r="X291" s="6"/>
      <c r="Y291" s="6"/>
      <c r="Z291" s="6"/>
      <c r="AA291" s="6" t="s">
        <v>545</v>
      </c>
      <c r="AB291" s="8"/>
    </row>
    <row r="292" spans="1:28" s="4" customFormat="1" ht="42" customHeight="1">
      <c r="A292" s="5">
        <v>0</v>
      </c>
      <c r="B292" s="6" t="s">
        <v>1869</v>
      </c>
      <c r="C292" s="13">
        <v>864</v>
      </c>
      <c r="D292" s="8" t="s">
        <v>1870</v>
      </c>
      <c r="E292" s="8" t="s">
        <v>1871</v>
      </c>
      <c r="F292" s="8" t="s">
        <v>1872</v>
      </c>
      <c r="G292" s="6" t="s">
        <v>38</v>
      </c>
      <c r="H292" s="6" t="s">
        <v>39</v>
      </c>
      <c r="I292" s="8" t="s">
        <v>40</v>
      </c>
      <c r="J292" s="9">
        <v>1</v>
      </c>
      <c r="K292" s="9">
        <v>186</v>
      </c>
      <c r="L292" s="9">
        <v>2021</v>
      </c>
      <c r="M292" s="8" t="s">
        <v>1873</v>
      </c>
      <c r="N292" s="8" t="s">
        <v>42</v>
      </c>
      <c r="O292" s="8" t="s">
        <v>72</v>
      </c>
      <c r="P292" s="6" t="s">
        <v>44</v>
      </c>
      <c r="Q292" s="8" t="s">
        <v>45</v>
      </c>
      <c r="R292" s="10" t="s">
        <v>127</v>
      </c>
      <c r="S292" s="11"/>
      <c r="T292" s="6"/>
      <c r="U292" s="24" t="str">
        <f>HYPERLINK("https://media.infra-m.ru/1074/1074129/cover/1074129.jpg", "Обложка")</f>
        <v>Обложка</v>
      </c>
      <c r="V292" s="24" t="str">
        <f>HYPERLINK("https://znanium.ru/catalog/product/1074129", "Ознакомиться")</f>
        <v>Ознакомиться</v>
      </c>
      <c r="W292" s="8" t="s">
        <v>1874</v>
      </c>
      <c r="X292" s="6"/>
      <c r="Y292" s="6"/>
      <c r="Z292" s="6"/>
      <c r="AA292" s="6" t="s">
        <v>129</v>
      </c>
      <c r="AB292" s="8"/>
    </row>
    <row r="293" spans="1:28" s="4" customFormat="1" ht="44.1" customHeight="1">
      <c r="A293" s="5">
        <v>0</v>
      </c>
      <c r="B293" s="6" t="s">
        <v>1875</v>
      </c>
      <c r="C293" s="13">
        <v>984</v>
      </c>
      <c r="D293" s="8" t="s">
        <v>1876</v>
      </c>
      <c r="E293" s="8" t="s">
        <v>1877</v>
      </c>
      <c r="F293" s="8" t="s">
        <v>1878</v>
      </c>
      <c r="G293" s="6" t="s">
        <v>38</v>
      </c>
      <c r="H293" s="6" t="s">
        <v>39</v>
      </c>
      <c r="I293" s="8" t="s">
        <v>40</v>
      </c>
      <c r="J293" s="9">
        <v>1</v>
      </c>
      <c r="K293" s="9">
        <v>182</v>
      </c>
      <c r="L293" s="9">
        <v>2022</v>
      </c>
      <c r="M293" s="8" t="s">
        <v>1879</v>
      </c>
      <c r="N293" s="8" t="s">
        <v>42</v>
      </c>
      <c r="O293" s="8" t="s">
        <v>43</v>
      </c>
      <c r="P293" s="6" t="s">
        <v>44</v>
      </c>
      <c r="Q293" s="8" t="s">
        <v>45</v>
      </c>
      <c r="R293" s="10" t="s">
        <v>1880</v>
      </c>
      <c r="S293" s="11"/>
      <c r="T293" s="6"/>
      <c r="U293" s="24" t="str">
        <f>HYPERLINK("https://media.infra-m.ru/1858/1858259/cover/1858259.jpg", "Обложка")</f>
        <v>Обложка</v>
      </c>
      <c r="V293" s="24" t="str">
        <f>HYPERLINK("https://znanium.ru/catalog/product/1858259", "Ознакомиться")</f>
        <v>Ознакомиться</v>
      </c>
      <c r="W293" s="8" t="s">
        <v>1881</v>
      </c>
      <c r="X293" s="6"/>
      <c r="Y293" s="6"/>
      <c r="Z293" s="6"/>
      <c r="AA293" s="6" t="s">
        <v>83</v>
      </c>
      <c r="AB293" s="8"/>
    </row>
    <row r="294" spans="1:28" s="4" customFormat="1" ht="44.1" customHeight="1">
      <c r="A294" s="5">
        <v>0</v>
      </c>
      <c r="B294" s="6" t="s">
        <v>1882</v>
      </c>
      <c r="C294" s="7">
        <v>1488</v>
      </c>
      <c r="D294" s="8" t="s">
        <v>1883</v>
      </c>
      <c r="E294" s="8" t="s">
        <v>1884</v>
      </c>
      <c r="F294" s="8" t="s">
        <v>1885</v>
      </c>
      <c r="G294" s="6" t="s">
        <v>62</v>
      </c>
      <c r="H294" s="6" t="s">
        <v>531</v>
      </c>
      <c r="I294" s="8" t="s">
        <v>532</v>
      </c>
      <c r="J294" s="9">
        <v>18</v>
      </c>
      <c r="K294" s="9">
        <v>350</v>
      </c>
      <c r="L294" s="9">
        <v>2020</v>
      </c>
      <c r="M294" s="8" t="s">
        <v>1886</v>
      </c>
      <c r="N294" s="8" t="s">
        <v>42</v>
      </c>
      <c r="O294" s="8" t="s">
        <v>72</v>
      </c>
      <c r="P294" s="6" t="s">
        <v>44</v>
      </c>
      <c r="Q294" s="8" t="s">
        <v>45</v>
      </c>
      <c r="R294" s="10" t="s">
        <v>1671</v>
      </c>
      <c r="S294" s="11"/>
      <c r="T294" s="6"/>
      <c r="U294" s="24" t="str">
        <f>HYPERLINK("https://media.infra-m.ru/1069/1069026/cover/1069026.jpg", "Обложка")</f>
        <v>Обложка</v>
      </c>
      <c r="V294" s="24" t="str">
        <f>HYPERLINK("https://znanium.ru/catalog/product/1069026", "Ознакомиться")</f>
        <v>Ознакомиться</v>
      </c>
      <c r="W294" s="8" t="s">
        <v>1887</v>
      </c>
      <c r="X294" s="6"/>
      <c r="Y294" s="6"/>
      <c r="Z294" s="6"/>
      <c r="AA294" s="6" t="s">
        <v>213</v>
      </c>
      <c r="AB294" s="8"/>
    </row>
    <row r="295" spans="1:28" s="4" customFormat="1" ht="44.1" customHeight="1">
      <c r="A295" s="5">
        <v>0</v>
      </c>
      <c r="B295" s="6" t="s">
        <v>1888</v>
      </c>
      <c r="C295" s="7">
        <v>1852.8</v>
      </c>
      <c r="D295" s="8" t="s">
        <v>1889</v>
      </c>
      <c r="E295" s="8" t="s">
        <v>1890</v>
      </c>
      <c r="F295" s="8" t="s">
        <v>1891</v>
      </c>
      <c r="G295" s="6" t="s">
        <v>38</v>
      </c>
      <c r="H295" s="6" t="s">
        <v>39</v>
      </c>
      <c r="I295" s="8" t="s">
        <v>40</v>
      </c>
      <c r="J295" s="9">
        <v>1</v>
      </c>
      <c r="K295" s="9">
        <v>296</v>
      </c>
      <c r="L295" s="9">
        <v>2025</v>
      </c>
      <c r="M295" s="8" t="s">
        <v>1892</v>
      </c>
      <c r="N295" s="8" t="s">
        <v>144</v>
      </c>
      <c r="O295" s="8" t="s">
        <v>145</v>
      </c>
      <c r="P295" s="6" t="s">
        <v>44</v>
      </c>
      <c r="Q295" s="8" t="s">
        <v>45</v>
      </c>
      <c r="R295" s="10" t="s">
        <v>1893</v>
      </c>
      <c r="S295" s="11"/>
      <c r="T295" s="6"/>
      <c r="U295" s="24" t="str">
        <f>HYPERLINK("https://media.infra-m.ru/2202/2202587/cover/2202587.jpg", "Обложка")</f>
        <v>Обложка</v>
      </c>
      <c r="V295" s="24" t="str">
        <f>HYPERLINK("https://znanium.ru/catalog/product/2196481", "Ознакомиться")</f>
        <v>Ознакомиться</v>
      </c>
      <c r="W295" s="8" t="s">
        <v>1284</v>
      </c>
      <c r="X295" s="6"/>
      <c r="Y295" s="6"/>
      <c r="Z295" s="6"/>
      <c r="AA295" s="6" t="s">
        <v>138</v>
      </c>
      <c r="AB295" s="8"/>
    </row>
    <row r="296" spans="1:28" s="4" customFormat="1" ht="44.1" customHeight="1">
      <c r="A296" s="5">
        <v>0</v>
      </c>
      <c r="B296" s="6" t="s">
        <v>1894</v>
      </c>
      <c r="C296" s="13">
        <v>525.6</v>
      </c>
      <c r="D296" s="8" t="s">
        <v>1895</v>
      </c>
      <c r="E296" s="8" t="s">
        <v>1896</v>
      </c>
      <c r="F296" s="8" t="s">
        <v>151</v>
      </c>
      <c r="G296" s="6" t="s">
        <v>38</v>
      </c>
      <c r="H296" s="6" t="s">
        <v>39</v>
      </c>
      <c r="I296" s="8"/>
      <c r="J296" s="9">
        <v>1</v>
      </c>
      <c r="K296" s="9">
        <v>112</v>
      </c>
      <c r="L296" s="9">
        <v>2026</v>
      </c>
      <c r="M296" s="8" t="s">
        <v>1897</v>
      </c>
      <c r="N296" s="8" t="s">
        <v>42</v>
      </c>
      <c r="O296" s="8" t="s">
        <v>43</v>
      </c>
      <c r="P296" s="6" t="s">
        <v>154</v>
      </c>
      <c r="Q296" s="8" t="s">
        <v>426</v>
      </c>
      <c r="R296" s="10" t="s">
        <v>1898</v>
      </c>
      <c r="S296" s="11"/>
      <c r="T296" s="6"/>
      <c r="U296" s="24" t="str">
        <f>HYPERLINK("https://media.infra-m.ru/2213/2213192/cover/2213192.jpg", "Обложка")</f>
        <v>Обложка</v>
      </c>
      <c r="V296" s="24" t="str">
        <f>HYPERLINK("https://znanium.ru/catalog/product/1048334", "Ознакомиться")</f>
        <v>Ознакомиться</v>
      </c>
      <c r="W296" s="8" t="s">
        <v>156</v>
      </c>
      <c r="X296" s="6"/>
      <c r="Y296" s="6"/>
      <c r="Z296" s="6"/>
      <c r="AA296" s="6" t="s">
        <v>1899</v>
      </c>
      <c r="AB296" s="8"/>
    </row>
    <row r="297" spans="1:28" s="4" customFormat="1" ht="42" customHeight="1">
      <c r="A297" s="5">
        <v>0</v>
      </c>
      <c r="B297" s="6" t="s">
        <v>1900</v>
      </c>
      <c r="C297" s="13">
        <v>948</v>
      </c>
      <c r="D297" s="8" t="s">
        <v>1901</v>
      </c>
      <c r="E297" s="8" t="s">
        <v>1902</v>
      </c>
      <c r="F297" s="8" t="s">
        <v>1903</v>
      </c>
      <c r="G297" s="6" t="s">
        <v>38</v>
      </c>
      <c r="H297" s="6" t="s">
        <v>39</v>
      </c>
      <c r="I297" s="8" t="s">
        <v>40</v>
      </c>
      <c r="J297" s="9">
        <v>1</v>
      </c>
      <c r="K297" s="9">
        <v>195</v>
      </c>
      <c r="L297" s="9">
        <v>2022</v>
      </c>
      <c r="M297" s="8" t="s">
        <v>1904</v>
      </c>
      <c r="N297" s="8" t="s">
        <v>42</v>
      </c>
      <c r="O297" s="8" t="s">
        <v>72</v>
      </c>
      <c r="P297" s="6" t="s">
        <v>44</v>
      </c>
      <c r="Q297" s="8" t="s">
        <v>45</v>
      </c>
      <c r="R297" s="10" t="s">
        <v>1027</v>
      </c>
      <c r="S297" s="11"/>
      <c r="T297" s="6"/>
      <c r="U297" s="24" t="str">
        <f>HYPERLINK("https://media.infra-m.ru/1843/1843230/cover/1843230.jpg", "Обложка")</f>
        <v>Обложка</v>
      </c>
      <c r="V297" s="24" t="str">
        <f>HYPERLINK("https://znanium.ru/catalog/product/1843230", "Ознакомиться")</f>
        <v>Ознакомиться</v>
      </c>
      <c r="W297" s="8" t="s">
        <v>1905</v>
      </c>
      <c r="X297" s="6"/>
      <c r="Y297" s="6"/>
      <c r="Z297" s="6"/>
      <c r="AA297" s="6" t="s">
        <v>83</v>
      </c>
      <c r="AB297" s="8"/>
    </row>
    <row r="298" spans="1:28" s="4" customFormat="1" ht="44.1" customHeight="1">
      <c r="A298" s="5">
        <v>0</v>
      </c>
      <c r="B298" s="6" t="s">
        <v>1906</v>
      </c>
      <c r="C298" s="7">
        <v>1036.8</v>
      </c>
      <c r="D298" s="8" t="s">
        <v>1907</v>
      </c>
      <c r="E298" s="8" t="s">
        <v>1908</v>
      </c>
      <c r="F298" s="8" t="s">
        <v>1909</v>
      </c>
      <c r="G298" s="6" t="s">
        <v>38</v>
      </c>
      <c r="H298" s="6" t="s">
        <v>39</v>
      </c>
      <c r="I298" s="8" t="s">
        <v>40</v>
      </c>
      <c r="J298" s="9">
        <v>1</v>
      </c>
      <c r="K298" s="9">
        <v>170</v>
      </c>
      <c r="L298" s="9">
        <v>2025</v>
      </c>
      <c r="M298" s="8" t="s">
        <v>1910</v>
      </c>
      <c r="N298" s="8" t="s">
        <v>42</v>
      </c>
      <c r="O298" s="8" t="s">
        <v>43</v>
      </c>
      <c r="P298" s="6" t="s">
        <v>44</v>
      </c>
      <c r="Q298" s="8" t="s">
        <v>45</v>
      </c>
      <c r="R298" s="10" t="s">
        <v>1911</v>
      </c>
      <c r="S298" s="11"/>
      <c r="T298" s="6"/>
      <c r="U298" s="24" t="str">
        <f>HYPERLINK("https://media.infra-m.ru/2170/2170938/cover/2170938.jpg", "Обложка")</f>
        <v>Обложка</v>
      </c>
      <c r="V298" s="24" t="str">
        <f>HYPERLINK("https://znanium.ru/catalog/product/2169307", "Ознакомиться")</f>
        <v>Ознакомиться</v>
      </c>
      <c r="W298" s="8" t="s">
        <v>1881</v>
      </c>
      <c r="X298" s="6"/>
      <c r="Y298" s="6"/>
      <c r="Z298" s="6"/>
      <c r="AA298" s="6" t="s">
        <v>129</v>
      </c>
      <c r="AB298" s="8"/>
    </row>
    <row r="299" spans="1:28" s="4" customFormat="1" ht="51.95" customHeight="1">
      <c r="A299" s="5">
        <v>0</v>
      </c>
      <c r="B299" s="6" t="s">
        <v>1912</v>
      </c>
      <c r="C299" s="13">
        <v>696</v>
      </c>
      <c r="D299" s="8" t="s">
        <v>1913</v>
      </c>
      <c r="E299" s="8" t="s">
        <v>1914</v>
      </c>
      <c r="F299" s="8" t="s">
        <v>1915</v>
      </c>
      <c r="G299" s="6" t="s">
        <v>38</v>
      </c>
      <c r="H299" s="6" t="s">
        <v>39</v>
      </c>
      <c r="I299" s="8" t="s">
        <v>40</v>
      </c>
      <c r="J299" s="9">
        <v>1</v>
      </c>
      <c r="K299" s="9">
        <v>118</v>
      </c>
      <c r="L299" s="9">
        <v>2024</v>
      </c>
      <c r="M299" s="8" t="s">
        <v>1916</v>
      </c>
      <c r="N299" s="8" t="s">
        <v>42</v>
      </c>
      <c r="O299" s="8" t="s">
        <v>72</v>
      </c>
      <c r="P299" s="6" t="s">
        <v>44</v>
      </c>
      <c r="Q299" s="8" t="s">
        <v>45</v>
      </c>
      <c r="R299" s="10" t="s">
        <v>1917</v>
      </c>
      <c r="S299" s="11"/>
      <c r="T299" s="6"/>
      <c r="U299" s="24" t="str">
        <f>HYPERLINK("https://media.infra-m.ru/2119/2119966/cover/2119966.jpg", "Обложка")</f>
        <v>Обложка</v>
      </c>
      <c r="V299" s="24" t="str">
        <f>HYPERLINK("https://znanium.ru/catalog/product/2119966", "Ознакомиться")</f>
        <v>Ознакомиться</v>
      </c>
      <c r="W299" s="8" t="s">
        <v>760</v>
      </c>
      <c r="X299" s="6"/>
      <c r="Y299" s="6"/>
      <c r="Z299" s="6"/>
      <c r="AA299" s="6" t="s">
        <v>227</v>
      </c>
      <c r="AB299" s="8"/>
    </row>
    <row r="300" spans="1:28" s="4" customFormat="1" ht="51.95" customHeight="1">
      <c r="A300" s="5">
        <v>0</v>
      </c>
      <c r="B300" s="6" t="s">
        <v>1918</v>
      </c>
      <c r="C300" s="7">
        <v>2052</v>
      </c>
      <c r="D300" s="8" t="s">
        <v>1919</v>
      </c>
      <c r="E300" s="8" t="s">
        <v>1920</v>
      </c>
      <c r="F300" s="8" t="s">
        <v>1921</v>
      </c>
      <c r="G300" s="6" t="s">
        <v>38</v>
      </c>
      <c r="H300" s="6" t="s">
        <v>39</v>
      </c>
      <c r="I300" s="8" t="s">
        <v>40</v>
      </c>
      <c r="J300" s="9">
        <v>1</v>
      </c>
      <c r="K300" s="9">
        <v>324</v>
      </c>
      <c r="L300" s="9">
        <v>2026</v>
      </c>
      <c r="M300" s="8" t="s">
        <v>1922</v>
      </c>
      <c r="N300" s="8" t="s">
        <v>42</v>
      </c>
      <c r="O300" s="8" t="s">
        <v>72</v>
      </c>
      <c r="P300" s="6" t="s">
        <v>44</v>
      </c>
      <c r="Q300" s="8" t="s">
        <v>45</v>
      </c>
      <c r="R300" s="10" t="s">
        <v>1923</v>
      </c>
      <c r="S300" s="11"/>
      <c r="T300" s="6"/>
      <c r="U300" s="24" t="str">
        <f>HYPERLINK("https://media.infra-m.ru/2221/2221506/cover/2221506.jpg", "Обложка")</f>
        <v>Обложка</v>
      </c>
      <c r="V300" s="24" t="str">
        <f>HYPERLINK("https://znanium.ru/catalog/product/2221506", "Ознакомиться")</f>
        <v>Ознакомиться</v>
      </c>
      <c r="W300" s="8" t="s">
        <v>74</v>
      </c>
      <c r="X300" s="6"/>
      <c r="Y300" s="6"/>
      <c r="Z300" s="6"/>
      <c r="AA300" s="6" t="s">
        <v>129</v>
      </c>
      <c r="AB300" s="8"/>
    </row>
    <row r="301" spans="1:28" s="4" customFormat="1" ht="51.95" customHeight="1">
      <c r="A301" s="5">
        <v>0</v>
      </c>
      <c r="B301" s="6" t="s">
        <v>1924</v>
      </c>
      <c r="C301" s="7">
        <v>1312.8</v>
      </c>
      <c r="D301" s="8" t="s">
        <v>1925</v>
      </c>
      <c r="E301" s="8" t="s">
        <v>1926</v>
      </c>
      <c r="F301" s="8" t="s">
        <v>1927</v>
      </c>
      <c r="G301" s="6" t="s">
        <v>96</v>
      </c>
      <c r="H301" s="6" t="s">
        <v>531</v>
      </c>
      <c r="I301" s="8"/>
      <c r="J301" s="9">
        <v>1</v>
      </c>
      <c r="K301" s="9">
        <v>216</v>
      </c>
      <c r="L301" s="9">
        <v>2025</v>
      </c>
      <c r="M301" s="8" t="s">
        <v>1928</v>
      </c>
      <c r="N301" s="8" t="s">
        <v>119</v>
      </c>
      <c r="O301" s="8" t="s">
        <v>381</v>
      </c>
      <c r="P301" s="6" t="s">
        <v>459</v>
      </c>
      <c r="Q301" s="8" t="s">
        <v>45</v>
      </c>
      <c r="R301" s="10" t="s">
        <v>1929</v>
      </c>
      <c r="S301" s="11"/>
      <c r="T301" s="6"/>
      <c r="U301" s="24" t="str">
        <f>HYPERLINK("https://media.infra-m.ru/2163/2163374/cover/2163374.jpg", "Обложка")</f>
        <v>Обложка</v>
      </c>
      <c r="V301" s="24" t="str">
        <f>HYPERLINK("https://znanium.ru/catalog/product/1851659", "Ознакомиться")</f>
        <v>Ознакомиться</v>
      </c>
      <c r="W301" s="8" t="s">
        <v>1128</v>
      </c>
      <c r="X301" s="6"/>
      <c r="Y301" s="6"/>
      <c r="Z301" s="6"/>
      <c r="AA301" s="6" t="s">
        <v>183</v>
      </c>
      <c r="AB301" s="8"/>
    </row>
    <row r="302" spans="1:28" s="4" customFormat="1" ht="51.95" customHeight="1">
      <c r="A302" s="5">
        <v>0</v>
      </c>
      <c r="B302" s="6" t="s">
        <v>1930</v>
      </c>
      <c r="C302" s="7">
        <v>1140</v>
      </c>
      <c r="D302" s="8" t="s">
        <v>1931</v>
      </c>
      <c r="E302" s="8" t="s">
        <v>1932</v>
      </c>
      <c r="F302" s="8" t="s">
        <v>1933</v>
      </c>
      <c r="G302" s="6" t="s">
        <v>38</v>
      </c>
      <c r="H302" s="6" t="s">
        <v>39</v>
      </c>
      <c r="I302" s="8" t="s">
        <v>40</v>
      </c>
      <c r="J302" s="9">
        <v>1</v>
      </c>
      <c r="K302" s="9">
        <v>205</v>
      </c>
      <c r="L302" s="9">
        <v>2023</v>
      </c>
      <c r="M302" s="8" t="s">
        <v>1934</v>
      </c>
      <c r="N302" s="8" t="s">
        <v>144</v>
      </c>
      <c r="O302" s="8" t="s">
        <v>145</v>
      </c>
      <c r="P302" s="6" t="s">
        <v>44</v>
      </c>
      <c r="Q302" s="8" t="s">
        <v>45</v>
      </c>
      <c r="R302" s="10" t="s">
        <v>1296</v>
      </c>
      <c r="S302" s="11"/>
      <c r="T302" s="6" t="s">
        <v>633</v>
      </c>
      <c r="U302" s="24" t="str">
        <f>HYPERLINK("https://media.infra-m.ru/2018/2018243/cover/2018243.jpg", "Обложка")</f>
        <v>Обложка</v>
      </c>
      <c r="V302" s="24" t="str">
        <f>HYPERLINK("https://znanium.ru/catalog/product/2018243", "Ознакомиться")</f>
        <v>Ознакомиться</v>
      </c>
      <c r="W302" s="8" t="s">
        <v>929</v>
      </c>
      <c r="X302" s="6"/>
      <c r="Y302" s="6"/>
      <c r="Z302" s="6"/>
      <c r="AA302" s="6" t="s">
        <v>264</v>
      </c>
      <c r="AB302" s="8"/>
    </row>
    <row r="303" spans="1:28" s="4" customFormat="1" ht="42" customHeight="1">
      <c r="A303" s="5">
        <v>0</v>
      </c>
      <c r="B303" s="6" t="s">
        <v>1935</v>
      </c>
      <c r="C303" s="7">
        <v>2148</v>
      </c>
      <c r="D303" s="8" t="s">
        <v>1936</v>
      </c>
      <c r="E303" s="8" t="s">
        <v>1937</v>
      </c>
      <c r="F303" s="8" t="s">
        <v>1938</v>
      </c>
      <c r="G303" s="6" t="s">
        <v>96</v>
      </c>
      <c r="H303" s="6" t="s">
        <v>39</v>
      </c>
      <c r="I303" s="8" t="s">
        <v>1255</v>
      </c>
      <c r="J303" s="9">
        <v>1</v>
      </c>
      <c r="K303" s="9">
        <v>311</v>
      </c>
      <c r="L303" s="9">
        <v>2025</v>
      </c>
      <c r="M303" s="8" t="s">
        <v>1939</v>
      </c>
      <c r="N303" s="8" t="s">
        <v>177</v>
      </c>
      <c r="O303" s="8" t="s">
        <v>178</v>
      </c>
      <c r="P303" s="6" t="s">
        <v>154</v>
      </c>
      <c r="Q303" s="8" t="s">
        <v>180</v>
      </c>
      <c r="R303" s="10" t="s">
        <v>1940</v>
      </c>
      <c r="S303" s="11"/>
      <c r="T303" s="6"/>
      <c r="U303" s="24" t="str">
        <f>HYPERLINK("https://media.infra-m.ru/1840/1840325/cover/1840325.jpg", "Обложка")</f>
        <v>Обложка</v>
      </c>
      <c r="V303" s="24" t="str">
        <f>HYPERLINK("https://znanium.ru/catalog/product/1840325", "Ознакомиться")</f>
        <v>Ознакомиться</v>
      </c>
      <c r="W303" s="8" t="s">
        <v>156</v>
      </c>
      <c r="X303" s="6" t="s">
        <v>1941</v>
      </c>
      <c r="Y303" s="6"/>
      <c r="Z303" s="6"/>
      <c r="AA303" s="6" t="s">
        <v>48</v>
      </c>
      <c r="AB303" s="8"/>
    </row>
    <row r="304" spans="1:28" s="4" customFormat="1" ht="42" customHeight="1">
      <c r="A304" s="5">
        <v>0</v>
      </c>
      <c r="B304" s="6" t="s">
        <v>1942</v>
      </c>
      <c r="C304" s="13">
        <v>408</v>
      </c>
      <c r="D304" s="8" t="s">
        <v>1943</v>
      </c>
      <c r="E304" s="8" t="s">
        <v>1944</v>
      </c>
      <c r="F304" s="8" t="s">
        <v>627</v>
      </c>
      <c r="G304" s="6" t="s">
        <v>38</v>
      </c>
      <c r="H304" s="6" t="s">
        <v>39</v>
      </c>
      <c r="I304" s="8" t="s">
        <v>629</v>
      </c>
      <c r="J304" s="9">
        <v>1</v>
      </c>
      <c r="K304" s="9">
        <v>53</v>
      </c>
      <c r="L304" s="9">
        <v>2023</v>
      </c>
      <c r="M304" s="8" t="s">
        <v>1945</v>
      </c>
      <c r="N304" s="8" t="s">
        <v>119</v>
      </c>
      <c r="O304" s="8" t="s">
        <v>915</v>
      </c>
      <c r="P304" s="6" t="s">
        <v>666</v>
      </c>
      <c r="Q304" s="8" t="s">
        <v>426</v>
      </c>
      <c r="R304" s="10" t="s">
        <v>1946</v>
      </c>
      <c r="S304" s="11"/>
      <c r="T304" s="6"/>
      <c r="U304" s="24" t="str">
        <f>HYPERLINK("https://media.infra-m.ru/1903/1903314/cover/1903314.jpg", "Обложка")</f>
        <v>Обложка</v>
      </c>
      <c r="V304" s="24" t="str">
        <f>HYPERLINK("https://znanium.ru/catalog/product/1903314", "Ознакомиться")</f>
        <v>Ознакомиться</v>
      </c>
      <c r="W304" s="8"/>
      <c r="X304" s="6"/>
      <c r="Y304" s="6"/>
      <c r="Z304" s="6"/>
      <c r="AA304" s="6" t="s">
        <v>91</v>
      </c>
      <c r="AB304" s="8"/>
    </row>
    <row r="305" spans="1:28" s="4" customFormat="1" ht="51.95" customHeight="1">
      <c r="A305" s="5">
        <v>0</v>
      </c>
      <c r="B305" s="6" t="s">
        <v>1947</v>
      </c>
      <c r="C305" s="7">
        <v>2032.8</v>
      </c>
      <c r="D305" s="8" t="s">
        <v>1948</v>
      </c>
      <c r="E305" s="8" t="s">
        <v>1949</v>
      </c>
      <c r="F305" s="8" t="s">
        <v>1950</v>
      </c>
      <c r="G305" s="6" t="s">
        <v>62</v>
      </c>
      <c r="H305" s="6" t="s">
        <v>39</v>
      </c>
      <c r="I305" s="8" t="s">
        <v>1951</v>
      </c>
      <c r="J305" s="9">
        <v>1</v>
      </c>
      <c r="K305" s="9">
        <v>328</v>
      </c>
      <c r="L305" s="9">
        <v>2024</v>
      </c>
      <c r="M305" s="8" t="s">
        <v>1952</v>
      </c>
      <c r="N305" s="8" t="s">
        <v>177</v>
      </c>
      <c r="O305" s="8" t="s">
        <v>190</v>
      </c>
      <c r="P305" s="6" t="s">
        <v>199</v>
      </c>
      <c r="Q305" s="8" t="s">
        <v>180</v>
      </c>
      <c r="R305" s="10" t="s">
        <v>1953</v>
      </c>
      <c r="S305" s="11"/>
      <c r="T305" s="6"/>
      <c r="U305" s="24" t="str">
        <f>HYPERLINK("https://media.infra-m.ru/2140/2140867/cover/2140867.jpg", "Обложка")</f>
        <v>Обложка</v>
      </c>
      <c r="V305" s="24" t="str">
        <f>HYPERLINK("https://znanium.ru/catalog/product/2231211", "Ознакомиться")</f>
        <v>Ознакомиться</v>
      </c>
      <c r="W305" s="8" t="s">
        <v>1954</v>
      </c>
      <c r="X305" s="6"/>
      <c r="Y305" s="6"/>
      <c r="Z305" s="6"/>
      <c r="AA305" s="6" t="s">
        <v>57</v>
      </c>
      <c r="AB305" s="8"/>
    </row>
    <row r="306" spans="1:28" s="4" customFormat="1" ht="42" customHeight="1">
      <c r="A306" s="5">
        <v>0</v>
      </c>
      <c r="B306" s="6" t="s">
        <v>1955</v>
      </c>
      <c r="C306" s="7">
        <v>1296</v>
      </c>
      <c r="D306" s="8" t="s">
        <v>1956</v>
      </c>
      <c r="E306" s="8" t="s">
        <v>1957</v>
      </c>
      <c r="F306" s="8" t="s">
        <v>1958</v>
      </c>
      <c r="G306" s="6" t="s">
        <v>38</v>
      </c>
      <c r="H306" s="6" t="s">
        <v>39</v>
      </c>
      <c r="I306" s="8" t="s">
        <v>40</v>
      </c>
      <c r="J306" s="9">
        <v>1</v>
      </c>
      <c r="K306" s="9">
        <v>195</v>
      </c>
      <c r="L306" s="9">
        <v>2026</v>
      </c>
      <c r="M306" s="8" t="s">
        <v>1959</v>
      </c>
      <c r="N306" s="8" t="s">
        <v>42</v>
      </c>
      <c r="O306" s="8" t="s">
        <v>1960</v>
      </c>
      <c r="P306" s="6" t="s">
        <v>44</v>
      </c>
      <c r="Q306" s="8" t="s">
        <v>45</v>
      </c>
      <c r="R306" s="10" t="s">
        <v>1961</v>
      </c>
      <c r="S306" s="11"/>
      <c r="T306" s="6"/>
      <c r="U306" s="24" t="str">
        <f>HYPERLINK("https://media.infra-m.ru/2224/2224053/cover/2224053.jpg", "Обложка")</f>
        <v>Обложка</v>
      </c>
      <c r="V306" s="24" t="str">
        <f>HYPERLINK("https://znanium.ru/catalog/product/2224053", "Ознакомиться")</f>
        <v>Ознакомиться</v>
      </c>
      <c r="W306" s="8" t="s">
        <v>1326</v>
      </c>
      <c r="X306" s="6"/>
      <c r="Y306" s="6"/>
      <c r="Z306" s="6"/>
      <c r="AA306" s="6" t="s">
        <v>91</v>
      </c>
      <c r="AB306" s="8"/>
    </row>
    <row r="307" spans="1:28" s="4" customFormat="1" ht="51.95" customHeight="1">
      <c r="A307" s="5">
        <v>0</v>
      </c>
      <c r="B307" s="6" t="s">
        <v>1962</v>
      </c>
      <c r="C307" s="7">
        <v>1584</v>
      </c>
      <c r="D307" s="8" t="s">
        <v>1963</v>
      </c>
      <c r="E307" s="8" t="s">
        <v>1964</v>
      </c>
      <c r="F307" s="8" t="s">
        <v>1965</v>
      </c>
      <c r="G307" s="6" t="s">
        <v>38</v>
      </c>
      <c r="H307" s="6" t="s">
        <v>39</v>
      </c>
      <c r="I307" s="8" t="s">
        <v>40</v>
      </c>
      <c r="J307" s="9">
        <v>1</v>
      </c>
      <c r="K307" s="9">
        <v>240</v>
      </c>
      <c r="L307" s="9">
        <v>2026</v>
      </c>
      <c r="M307" s="8" t="s">
        <v>1966</v>
      </c>
      <c r="N307" s="8" t="s">
        <v>42</v>
      </c>
      <c r="O307" s="8" t="s">
        <v>1960</v>
      </c>
      <c r="P307" s="6" t="s">
        <v>44</v>
      </c>
      <c r="Q307" s="8" t="s">
        <v>45</v>
      </c>
      <c r="R307" s="10" t="s">
        <v>1967</v>
      </c>
      <c r="S307" s="11"/>
      <c r="T307" s="6"/>
      <c r="U307" s="24" t="str">
        <f>HYPERLINK("https://media.infra-m.ru/2231/2231240/cover/2231240.jpg", "Обложка")</f>
        <v>Обложка</v>
      </c>
      <c r="V307" s="24" t="str">
        <f>HYPERLINK("https://znanium.ru/catalog/product/2231240", "Ознакомиться")</f>
        <v>Ознакомиться</v>
      </c>
      <c r="W307" s="8" t="s">
        <v>1968</v>
      </c>
      <c r="X307" s="6"/>
      <c r="Y307" s="6"/>
      <c r="Z307" s="6"/>
      <c r="AA307" s="6" t="s">
        <v>412</v>
      </c>
      <c r="AB307" s="8"/>
    </row>
    <row r="308" spans="1:28" s="4" customFormat="1" ht="42" customHeight="1">
      <c r="A308" s="5">
        <v>0</v>
      </c>
      <c r="B308" s="6" t="s">
        <v>1969</v>
      </c>
      <c r="C308" s="7">
        <v>1788</v>
      </c>
      <c r="D308" s="8" t="s">
        <v>1970</v>
      </c>
      <c r="E308" s="8" t="s">
        <v>1971</v>
      </c>
      <c r="F308" s="8" t="s">
        <v>1972</v>
      </c>
      <c r="G308" s="6" t="s">
        <v>62</v>
      </c>
      <c r="H308" s="6" t="s">
        <v>39</v>
      </c>
      <c r="I308" s="8" t="s">
        <v>40</v>
      </c>
      <c r="J308" s="9">
        <v>1</v>
      </c>
      <c r="K308" s="9">
        <v>271</v>
      </c>
      <c r="L308" s="9">
        <v>2026</v>
      </c>
      <c r="M308" s="8" t="s">
        <v>1973</v>
      </c>
      <c r="N308" s="8" t="s">
        <v>42</v>
      </c>
      <c r="O308" s="8" t="s">
        <v>72</v>
      </c>
      <c r="P308" s="6" t="s">
        <v>44</v>
      </c>
      <c r="Q308" s="8" t="s">
        <v>45</v>
      </c>
      <c r="R308" s="10" t="s">
        <v>1974</v>
      </c>
      <c r="S308" s="11"/>
      <c r="T308" s="6"/>
      <c r="U308" s="24" t="str">
        <f>HYPERLINK("https://media.infra-m.ru/2223/2223143/cover/2223143.jpg", "Обложка")</f>
        <v>Обложка</v>
      </c>
      <c r="V308" s="24" t="str">
        <f>HYPERLINK("https://znanium.ru/catalog/product/2223143", "Ознакомиться")</f>
        <v>Ознакомиться</v>
      </c>
      <c r="W308" s="8" t="s">
        <v>995</v>
      </c>
      <c r="X308" s="6"/>
      <c r="Y308" s="6"/>
      <c r="Z308" s="6"/>
      <c r="AA308" s="6" t="s">
        <v>360</v>
      </c>
      <c r="AB308" s="8"/>
    </row>
    <row r="309" spans="1:28" s="4" customFormat="1" ht="51.95" customHeight="1">
      <c r="A309" s="5">
        <v>0</v>
      </c>
      <c r="B309" s="6" t="s">
        <v>1975</v>
      </c>
      <c r="C309" s="13">
        <v>672</v>
      </c>
      <c r="D309" s="8" t="s">
        <v>1976</v>
      </c>
      <c r="E309" s="8" t="s">
        <v>1977</v>
      </c>
      <c r="F309" s="8" t="s">
        <v>1978</v>
      </c>
      <c r="G309" s="6" t="s">
        <v>38</v>
      </c>
      <c r="H309" s="6" t="s">
        <v>39</v>
      </c>
      <c r="I309" s="8" t="s">
        <v>40</v>
      </c>
      <c r="J309" s="9">
        <v>1</v>
      </c>
      <c r="K309" s="9">
        <v>125</v>
      </c>
      <c r="L309" s="9">
        <v>2022</v>
      </c>
      <c r="M309" s="8" t="s">
        <v>1979</v>
      </c>
      <c r="N309" s="8" t="s">
        <v>42</v>
      </c>
      <c r="O309" s="8" t="s">
        <v>43</v>
      </c>
      <c r="P309" s="6" t="s">
        <v>44</v>
      </c>
      <c r="Q309" s="8" t="s">
        <v>45</v>
      </c>
      <c r="R309" s="10" t="s">
        <v>1980</v>
      </c>
      <c r="S309" s="11"/>
      <c r="T309" s="6"/>
      <c r="U309" s="24" t="str">
        <f>HYPERLINK("https://media.infra-m.ru/1851/1851553/cover/1851553.jpg", "Обложка")</f>
        <v>Обложка</v>
      </c>
      <c r="V309" s="24" t="str">
        <f>HYPERLINK("https://znanium.ru/catalog/product/1851553", "Ознакомиться")</f>
        <v>Ознакомиться</v>
      </c>
      <c r="W309" s="8"/>
      <c r="X309" s="6"/>
      <c r="Y309" s="6"/>
      <c r="Z309" s="6"/>
      <c r="AA309" s="6" t="s">
        <v>83</v>
      </c>
      <c r="AB309" s="8"/>
    </row>
    <row r="310" spans="1:28" s="4" customFormat="1" ht="42" customHeight="1">
      <c r="A310" s="5">
        <v>0</v>
      </c>
      <c r="B310" s="6" t="s">
        <v>1981</v>
      </c>
      <c r="C310" s="7">
        <v>1836</v>
      </c>
      <c r="D310" s="8" t="s">
        <v>1982</v>
      </c>
      <c r="E310" s="8" t="s">
        <v>1983</v>
      </c>
      <c r="F310" s="8" t="s">
        <v>1984</v>
      </c>
      <c r="G310" s="6" t="s">
        <v>62</v>
      </c>
      <c r="H310" s="6" t="s">
        <v>39</v>
      </c>
      <c r="I310" s="8" t="s">
        <v>40</v>
      </c>
      <c r="J310" s="9">
        <v>1</v>
      </c>
      <c r="K310" s="9">
        <v>306</v>
      </c>
      <c r="L310" s="9">
        <v>2024</v>
      </c>
      <c r="M310" s="8" t="s">
        <v>1985</v>
      </c>
      <c r="N310" s="8" t="s">
        <v>42</v>
      </c>
      <c r="O310" s="8" t="s">
        <v>104</v>
      </c>
      <c r="P310" s="6" t="s">
        <v>44</v>
      </c>
      <c r="Q310" s="8" t="s">
        <v>45</v>
      </c>
      <c r="R310" s="10" t="s">
        <v>1986</v>
      </c>
      <c r="S310" s="11"/>
      <c r="T310" s="6"/>
      <c r="U310" s="24" t="str">
        <f>HYPERLINK("https://media.infra-m.ru/2134/2134939/cover/2134939.jpg", "Обложка")</f>
        <v>Обложка</v>
      </c>
      <c r="V310" s="24" t="str">
        <f>HYPERLINK("https://znanium.ru/catalog/product/2134939", "Ознакомиться")</f>
        <v>Ознакомиться</v>
      </c>
      <c r="W310" s="8" t="s">
        <v>329</v>
      </c>
      <c r="X310" s="6"/>
      <c r="Y310" s="6"/>
      <c r="Z310" s="6"/>
      <c r="AA310" s="6" t="s">
        <v>227</v>
      </c>
      <c r="AB310" s="8"/>
    </row>
    <row r="311" spans="1:28" s="4" customFormat="1" ht="51.95" customHeight="1">
      <c r="A311" s="5">
        <v>0</v>
      </c>
      <c r="B311" s="6" t="s">
        <v>1987</v>
      </c>
      <c r="C311" s="7">
        <v>1764</v>
      </c>
      <c r="D311" s="8" t="s">
        <v>1988</v>
      </c>
      <c r="E311" s="8" t="s">
        <v>1989</v>
      </c>
      <c r="F311" s="8" t="s">
        <v>1990</v>
      </c>
      <c r="G311" s="6" t="s">
        <v>96</v>
      </c>
      <c r="H311" s="6" t="s">
        <v>39</v>
      </c>
      <c r="I311" s="8" t="s">
        <v>40</v>
      </c>
      <c r="J311" s="9">
        <v>1</v>
      </c>
      <c r="K311" s="9">
        <v>293</v>
      </c>
      <c r="L311" s="9">
        <v>2025</v>
      </c>
      <c r="M311" s="8" t="s">
        <v>1991</v>
      </c>
      <c r="N311" s="8" t="s">
        <v>42</v>
      </c>
      <c r="O311" s="8" t="s">
        <v>908</v>
      </c>
      <c r="P311" s="6" t="s">
        <v>44</v>
      </c>
      <c r="Q311" s="8" t="s">
        <v>45</v>
      </c>
      <c r="R311" s="10" t="s">
        <v>1992</v>
      </c>
      <c r="S311" s="11"/>
      <c r="T311" s="6"/>
      <c r="U311" s="24" t="str">
        <f>HYPERLINK("https://media.infra-m.ru/2141/2141618/cover/2141618.jpg", "Обложка")</f>
        <v>Обложка</v>
      </c>
      <c r="V311" s="24" t="str">
        <f>HYPERLINK("https://znanium.ru/catalog/product/2141618", "Ознакомиться")</f>
        <v>Ознакомиться</v>
      </c>
      <c r="W311" s="8" t="s">
        <v>113</v>
      </c>
      <c r="X311" s="6"/>
      <c r="Y311" s="6"/>
      <c r="Z311" s="6"/>
      <c r="AA311" s="6" t="s">
        <v>360</v>
      </c>
      <c r="AB311" s="8"/>
    </row>
    <row r="312" spans="1:28" s="4" customFormat="1" ht="44.1" customHeight="1">
      <c r="A312" s="5">
        <v>0</v>
      </c>
      <c r="B312" s="6" t="s">
        <v>1993</v>
      </c>
      <c r="C312" s="7">
        <v>1392</v>
      </c>
      <c r="D312" s="8" t="s">
        <v>1994</v>
      </c>
      <c r="E312" s="8" t="s">
        <v>1995</v>
      </c>
      <c r="F312" s="8"/>
      <c r="G312" s="6" t="s">
        <v>38</v>
      </c>
      <c r="H312" s="6" t="s">
        <v>39</v>
      </c>
      <c r="I312" s="8" t="s">
        <v>629</v>
      </c>
      <c r="J312" s="9">
        <v>1</v>
      </c>
      <c r="K312" s="9">
        <v>232</v>
      </c>
      <c r="L312" s="9">
        <v>2025</v>
      </c>
      <c r="M312" s="8" t="s">
        <v>1996</v>
      </c>
      <c r="N312" s="8" t="s">
        <v>119</v>
      </c>
      <c r="O312" s="8" t="s">
        <v>915</v>
      </c>
      <c r="P312" s="6" t="s">
        <v>1997</v>
      </c>
      <c r="Q312" s="8" t="s">
        <v>180</v>
      </c>
      <c r="R312" s="10" t="s">
        <v>1998</v>
      </c>
      <c r="S312" s="11"/>
      <c r="T312" s="6"/>
      <c r="U312" s="24" t="str">
        <f>HYPERLINK("https://media.infra-m.ru/2187/2187825/cover/2187825.jpg", "Обложка")</f>
        <v>Обложка</v>
      </c>
      <c r="V312" s="24" t="str">
        <f>HYPERLINK("https://znanium.ru/catalog/product/2187825", "Ознакомиться")</f>
        <v>Ознакомиться</v>
      </c>
      <c r="W312" s="8"/>
      <c r="X312" s="6"/>
      <c r="Y312" s="6"/>
      <c r="Z312" s="6"/>
      <c r="AA312" s="6" t="s">
        <v>91</v>
      </c>
      <c r="AB312" s="8"/>
    </row>
    <row r="313" spans="1:28" s="4" customFormat="1" ht="44.1" customHeight="1">
      <c r="A313" s="5">
        <v>0</v>
      </c>
      <c r="B313" s="6" t="s">
        <v>1999</v>
      </c>
      <c r="C313" s="13">
        <v>804</v>
      </c>
      <c r="D313" s="8" t="s">
        <v>2000</v>
      </c>
      <c r="E313" s="8" t="s">
        <v>2001</v>
      </c>
      <c r="F313" s="8" t="s">
        <v>2002</v>
      </c>
      <c r="G313" s="6" t="s">
        <v>38</v>
      </c>
      <c r="H313" s="6" t="s">
        <v>39</v>
      </c>
      <c r="I313" s="8" t="s">
        <v>40</v>
      </c>
      <c r="J313" s="9">
        <v>1</v>
      </c>
      <c r="K313" s="9">
        <v>145</v>
      </c>
      <c r="L313" s="9">
        <v>2024</v>
      </c>
      <c r="M313" s="8" t="s">
        <v>2003</v>
      </c>
      <c r="N313" s="8" t="s">
        <v>144</v>
      </c>
      <c r="O313" s="8" t="s">
        <v>145</v>
      </c>
      <c r="P313" s="6" t="s">
        <v>44</v>
      </c>
      <c r="Q313" s="8" t="s">
        <v>45</v>
      </c>
      <c r="R313" s="10" t="s">
        <v>2004</v>
      </c>
      <c r="S313" s="11"/>
      <c r="T313" s="6"/>
      <c r="U313" s="24" t="str">
        <f>HYPERLINK("https://media.infra-m.ru/2096/2096823/cover/2096823.jpg", "Обложка")</f>
        <v>Обложка</v>
      </c>
      <c r="V313" s="24" t="str">
        <f>HYPERLINK("https://znanium.ru/catalog/product/2096823", "Ознакомиться")</f>
        <v>Ознакомиться</v>
      </c>
      <c r="W313" s="8" t="s">
        <v>2005</v>
      </c>
      <c r="X313" s="6"/>
      <c r="Y313" s="6"/>
      <c r="Z313" s="6"/>
      <c r="AA313" s="6" t="s">
        <v>138</v>
      </c>
      <c r="AB313" s="8"/>
    </row>
    <row r="314" spans="1:28" s="4" customFormat="1" ht="44.1" customHeight="1">
      <c r="A314" s="5">
        <v>0</v>
      </c>
      <c r="B314" s="6" t="s">
        <v>2006</v>
      </c>
      <c r="C314" s="7">
        <v>1068</v>
      </c>
      <c r="D314" s="8" t="s">
        <v>2007</v>
      </c>
      <c r="E314" s="8" t="s">
        <v>2008</v>
      </c>
      <c r="F314" s="8" t="s">
        <v>2009</v>
      </c>
      <c r="G314" s="6" t="s">
        <v>96</v>
      </c>
      <c r="H314" s="6" t="s">
        <v>39</v>
      </c>
      <c r="I314" s="8" t="s">
        <v>757</v>
      </c>
      <c r="J314" s="9">
        <v>1</v>
      </c>
      <c r="K314" s="9">
        <v>184</v>
      </c>
      <c r="L314" s="9">
        <v>2023</v>
      </c>
      <c r="M314" s="8" t="s">
        <v>2010</v>
      </c>
      <c r="N314" s="8" t="s">
        <v>119</v>
      </c>
      <c r="O314" s="8" t="s">
        <v>120</v>
      </c>
      <c r="P314" s="6" t="s">
        <v>169</v>
      </c>
      <c r="Q314" s="8" t="s">
        <v>45</v>
      </c>
      <c r="R314" s="10" t="s">
        <v>2011</v>
      </c>
      <c r="S314" s="11"/>
      <c r="T314" s="6"/>
      <c r="U314" s="24" t="str">
        <f>HYPERLINK("https://media.infra-m.ru/1913/1913257/cover/1913257.jpg", "Обложка")</f>
        <v>Обложка</v>
      </c>
      <c r="V314" s="24" t="str">
        <f>HYPERLINK("https://znanium.ru/catalog/product/1913257", "Ознакомиться")</f>
        <v>Ознакомиться</v>
      </c>
      <c r="W314" s="8" t="s">
        <v>505</v>
      </c>
      <c r="X314" s="6"/>
      <c r="Y314" s="6"/>
      <c r="Z314" s="6"/>
      <c r="AA314" s="6" t="s">
        <v>91</v>
      </c>
      <c r="AB314" s="8"/>
    </row>
    <row r="315" spans="1:28" s="4" customFormat="1" ht="51.95" customHeight="1">
      <c r="A315" s="5">
        <v>0</v>
      </c>
      <c r="B315" s="6" t="s">
        <v>2012</v>
      </c>
      <c r="C315" s="7">
        <v>1104</v>
      </c>
      <c r="D315" s="8" t="s">
        <v>2013</v>
      </c>
      <c r="E315" s="8" t="s">
        <v>2014</v>
      </c>
      <c r="F315" s="8" t="s">
        <v>2015</v>
      </c>
      <c r="G315" s="6" t="s">
        <v>96</v>
      </c>
      <c r="H315" s="6" t="s">
        <v>39</v>
      </c>
      <c r="I315" s="8" t="s">
        <v>757</v>
      </c>
      <c r="J315" s="9">
        <v>1</v>
      </c>
      <c r="K315" s="9">
        <v>192</v>
      </c>
      <c r="L315" s="9">
        <v>2023</v>
      </c>
      <c r="M315" s="8" t="s">
        <v>2016</v>
      </c>
      <c r="N315" s="8" t="s">
        <v>119</v>
      </c>
      <c r="O315" s="8" t="s">
        <v>120</v>
      </c>
      <c r="P315" s="6" t="s">
        <v>169</v>
      </c>
      <c r="Q315" s="8" t="s">
        <v>45</v>
      </c>
      <c r="R315" s="10" t="s">
        <v>2017</v>
      </c>
      <c r="S315" s="11"/>
      <c r="T315" s="6"/>
      <c r="U315" s="24" t="str">
        <f>HYPERLINK("https://media.infra-m.ru/1913/1913261/cover/1913261.jpg", "Обложка")</f>
        <v>Обложка</v>
      </c>
      <c r="V315" s="24" t="str">
        <f>HYPERLINK("https://znanium.ru/catalog/product/1913261", "Ознакомиться")</f>
        <v>Ознакомиться</v>
      </c>
      <c r="W315" s="8" t="s">
        <v>505</v>
      </c>
      <c r="X315" s="6"/>
      <c r="Y315" s="6"/>
      <c r="Z315" s="6"/>
      <c r="AA315" s="6" t="s">
        <v>91</v>
      </c>
      <c r="AB315" s="8"/>
    </row>
    <row r="316" spans="1:28" s="4" customFormat="1" ht="42" customHeight="1">
      <c r="A316" s="5">
        <v>0</v>
      </c>
      <c r="B316" s="6" t="s">
        <v>2018</v>
      </c>
      <c r="C316" s="7">
        <v>1248</v>
      </c>
      <c r="D316" s="8" t="s">
        <v>2019</v>
      </c>
      <c r="E316" s="8" t="s">
        <v>2020</v>
      </c>
      <c r="F316" s="8" t="s">
        <v>2021</v>
      </c>
      <c r="G316" s="6" t="s">
        <v>38</v>
      </c>
      <c r="H316" s="6" t="s">
        <v>39</v>
      </c>
      <c r="I316" s="8" t="s">
        <v>40</v>
      </c>
      <c r="J316" s="9">
        <v>1</v>
      </c>
      <c r="K316" s="9">
        <v>208</v>
      </c>
      <c r="L316" s="9">
        <v>2024</v>
      </c>
      <c r="M316" s="8" t="s">
        <v>2022</v>
      </c>
      <c r="N316" s="8" t="s">
        <v>42</v>
      </c>
      <c r="O316" s="8" t="s">
        <v>72</v>
      </c>
      <c r="P316" s="6" t="s">
        <v>44</v>
      </c>
      <c r="Q316" s="8" t="s">
        <v>45</v>
      </c>
      <c r="R316" s="10" t="s">
        <v>2023</v>
      </c>
      <c r="S316" s="11"/>
      <c r="T316" s="6"/>
      <c r="U316" s="24" t="str">
        <f>HYPERLINK("https://media.infra-m.ru/2010/2010447/cover/2010447.jpg", "Обложка")</f>
        <v>Обложка</v>
      </c>
      <c r="V316" s="24" t="str">
        <f>HYPERLINK("https://znanium.ru/catalog/product/2010447", "Ознакомиться")</f>
        <v>Ознакомиться</v>
      </c>
      <c r="W316" s="8" t="s">
        <v>2024</v>
      </c>
      <c r="X316" s="6"/>
      <c r="Y316" s="6"/>
      <c r="Z316" s="6"/>
      <c r="AA316" s="6" t="s">
        <v>48</v>
      </c>
      <c r="AB316" s="8"/>
    </row>
    <row r="317" spans="1:28" s="4" customFormat="1" ht="44.1" customHeight="1">
      <c r="A317" s="5">
        <v>0</v>
      </c>
      <c r="B317" s="6" t="s">
        <v>2025</v>
      </c>
      <c r="C317" s="7">
        <v>1428</v>
      </c>
      <c r="D317" s="8" t="s">
        <v>2026</v>
      </c>
      <c r="E317" s="8" t="s">
        <v>2027</v>
      </c>
      <c r="F317" s="8" t="s">
        <v>2028</v>
      </c>
      <c r="G317" s="6" t="s">
        <v>96</v>
      </c>
      <c r="H317" s="6" t="s">
        <v>39</v>
      </c>
      <c r="I317" s="8" t="s">
        <v>40</v>
      </c>
      <c r="J317" s="9">
        <v>1</v>
      </c>
      <c r="K317" s="9">
        <v>210</v>
      </c>
      <c r="L317" s="9">
        <v>2026</v>
      </c>
      <c r="M317" s="8" t="s">
        <v>2029</v>
      </c>
      <c r="N317" s="8" t="s">
        <v>42</v>
      </c>
      <c r="O317" s="8" t="s">
        <v>72</v>
      </c>
      <c r="P317" s="6" t="s">
        <v>44</v>
      </c>
      <c r="Q317" s="8" t="s">
        <v>45</v>
      </c>
      <c r="R317" s="10" t="s">
        <v>2030</v>
      </c>
      <c r="S317" s="11"/>
      <c r="T317" s="6"/>
      <c r="U317" s="24" t="str">
        <f>HYPERLINK("https://media.infra-m.ru/2197/2197057/cover/2197057.jpg", "Обложка")</f>
        <v>Обложка</v>
      </c>
      <c r="V317" s="24" t="str">
        <f>HYPERLINK("https://znanium.ru/catalog/product/2197057", "Ознакомиться")</f>
        <v>Ознакомиться</v>
      </c>
      <c r="W317" s="8" t="s">
        <v>2031</v>
      </c>
      <c r="X317" s="6" t="s">
        <v>350</v>
      </c>
      <c r="Y317" s="6"/>
      <c r="Z317" s="6"/>
      <c r="AA317" s="6" t="s">
        <v>345</v>
      </c>
      <c r="AB317" s="8"/>
    </row>
    <row r="318" spans="1:28" s="4" customFormat="1" ht="51.95" customHeight="1">
      <c r="A318" s="5">
        <v>0</v>
      </c>
      <c r="B318" s="6" t="s">
        <v>2032</v>
      </c>
      <c r="C318" s="13">
        <v>900</v>
      </c>
      <c r="D318" s="8" t="s">
        <v>2033</v>
      </c>
      <c r="E318" s="8" t="s">
        <v>2034</v>
      </c>
      <c r="F318" s="8" t="s">
        <v>2035</v>
      </c>
      <c r="G318" s="6" t="s">
        <v>38</v>
      </c>
      <c r="H318" s="6" t="s">
        <v>39</v>
      </c>
      <c r="I318" s="8" t="s">
        <v>40</v>
      </c>
      <c r="J318" s="9">
        <v>1</v>
      </c>
      <c r="K318" s="9">
        <v>192</v>
      </c>
      <c r="L318" s="9">
        <v>2021</v>
      </c>
      <c r="M318" s="8" t="s">
        <v>2036</v>
      </c>
      <c r="N318" s="8" t="s">
        <v>144</v>
      </c>
      <c r="O318" s="8" t="s">
        <v>145</v>
      </c>
      <c r="P318" s="6" t="s">
        <v>44</v>
      </c>
      <c r="Q318" s="8" t="s">
        <v>45</v>
      </c>
      <c r="R318" s="10" t="s">
        <v>2037</v>
      </c>
      <c r="S318" s="11"/>
      <c r="T318" s="6"/>
      <c r="U318" s="24" t="str">
        <f>HYPERLINK("https://media.infra-m.ru/1371/1371146/cover/1371146.jpg", "Обложка")</f>
        <v>Обложка</v>
      </c>
      <c r="V318" s="24" t="str">
        <f>HYPERLINK("https://znanium.ru/catalog/product/1371146", "Ознакомиться")</f>
        <v>Ознакомиться</v>
      </c>
      <c r="W318" s="8" t="s">
        <v>2038</v>
      </c>
      <c r="X318" s="6"/>
      <c r="Y318" s="6"/>
      <c r="Z318" s="6"/>
      <c r="AA318" s="6" t="s">
        <v>129</v>
      </c>
      <c r="AB318" s="8"/>
    </row>
    <row r="319" spans="1:28" s="4" customFormat="1" ht="42" customHeight="1">
      <c r="A319" s="5">
        <v>0</v>
      </c>
      <c r="B319" s="6" t="s">
        <v>2039</v>
      </c>
      <c r="C319" s="7">
        <v>2574</v>
      </c>
      <c r="D319" s="8" t="s">
        <v>2040</v>
      </c>
      <c r="E319" s="8" t="s">
        <v>2041</v>
      </c>
      <c r="F319" s="8"/>
      <c r="G319" s="6" t="s">
        <v>38</v>
      </c>
      <c r="H319" s="6" t="s">
        <v>39</v>
      </c>
      <c r="I319" s="8"/>
      <c r="J319" s="9">
        <v>1</v>
      </c>
      <c r="K319" s="9">
        <v>52</v>
      </c>
      <c r="L319" s="9">
        <v>2024</v>
      </c>
      <c r="M319" s="8"/>
      <c r="N319" s="8" t="s">
        <v>144</v>
      </c>
      <c r="O319" s="8" t="s">
        <v>145</v>
      </c>
      <c r="P319" s="6" t="s">
        <v>121</v>
      </c>
      <c r="Q319" s="8"/>
      <c r="R319" s="10"/>
      <c r="S319" s="11"/>
      <c r="T319" s="6"/>
      <c r="U319" s="24" t="str">
        <f>HYPERLINK("https://media.infra-m.ru/2081/2081583/cover/2081583.jpg", "Обложка")</f>
        <v>Обложка</v>
      </c>
      <c r="V319" s="24" t="str">
        <f>HYPERLINK("https://znanium.ru/catalog/product/2174156", "Ознакомиться")</f>
        <v>Ознакомиться</v>
      </c>
      <c r="W319" s="8"/>
      <c r="X319" s="6"/>
      <c r="Y319" s="6"/>
      <c r="Z319" s="6"/>
      <c r="AA319" s="6" t="s">
        <v>264</v>
      </c>
      <c r="AB319" s="8"/>
    </row>
    <row r="320" spans="1:28" s="4" customFormat="1" ht="42" customHeight="1">
      <c r="A320" s="5">
        <v>0</v>
      </c>
      <c r="B320" s="6" t="s">
        <v>2042</v>
      </c>
      <c r="C320" s="7">
        <v>2574</v>
      </c>
      <c r="D320" s="8" t="s">
        <v>2043</v>
      </c>
      <c r="E320" s="8" t="s">
        <v>2044</v>
      </c>
      <c r="F320" s="8"/>
      <c r="G320" s="6" t="s">
        <v>38</v>
      </c>
      <c r="H320" s="6" t="s">
        <v>39</v>
      </c>
      <c r="I320" s="8"/>
      <c r="J320" s="9">
        <v>1</v>
      </c>
      <c r="K320" s="9">
        <v>52</v>
      </c>
      <c r="L320" s="9">
        <v>2025</v>
      </c>
      <c r="M320" s="8"/>
      <c r="N320" s="8" t="s">
        <v>144</v>
      </c>
      <c r="O320" s="8" t="s">
        <v>145</v>
      </c>
      <c r="P320" s="6" t="s">
        <v>121</v>
      </c>
      <c r="Q320" s="8"/>
      <c r="R320" s="10"/>
      <c r="S320" s="11"/>
      <c r="T320" s="6"/>
      <c r="U320" s="24" t="str">
        <f>HYPERLINK("https://media.infra-m.ru/2174/2174157/cover/2174157.jpg", "Обложка")</f>
        <v>Обложка</v>
      </c>
      <c r="V320" s="24" t="str">
        <f>HYPERLINK("https://znanium.ru/catalog/product/2174156", "Ознакомиться")</f>
        <v>Ознакомиться</v>
      </c>
      <c r="W320" s="8"/>
      <c r="X320" s="6" t="s">
        <v>436</v>
      </c>
      <c r="Y320" s="6"/>
      <c r="Z320" s="6"/>
      <c r="AA320" s="6" t="s">
        <v>2045</v>
      </c>
      <c r="AB320" s="8"/>
    </row>
    <row r="321" spans="1:28" s="4" customFormat="1" ht="51.95" customHeight="1">
      <c r="A321" s="5">
        <v>0</v>
      </c>
      <c r="B321" s="6" t="s">
        <v>2046</v>
      </c>
      <c r="C321" s="7">
        <v>1116</v>
      </c>
      <c r="D321" s="8" t="s">
        <v>2047</v>
      </c>
      <c r="E321" s="8" t="s">
        <v>2048</v>
      </c>
      <c r="F321" s="8" t="s">
        <v>727</v>
      </c>
      <c r="G321" s="6" t="s">
        <v>96</v>
      </c>
      <c r="H321" s="6" t="s">
        <v>39</v>
      </c>
      <c r="I321" s="8" t="s">
        <v>340</v>
      </c>
      <c r="J321" s="9">
        <v>1</v>
      </c>
      <c r="K321" s="9">
        <v>178</v>
      </c>
      <c r="L321" s="9">
        <v>2025</v>
      </c>
      <c r="M321" s="8" t="s">
        <v>2049</v>
      </c>
      <c r="N321" s="8" t="s">
        <v>423</v>
      </c>
      <c r="O321" s="8" t="s">
        <v>424</v>
      </c>
      <c r="P321" s="6" t="s">
        <v>271</v>
      </c>
      <c r="Q321" s="8" t="s">
        <v>180</v>
      </c>
      <c r="R321" s="10" t="s">
        <v>2050</v>
      </c>
      <c r="S321" s="11"/>
      <c r="T321" s="6"/>
      <c r="U321" s="24" t="str">
        <f>HYPERLINK("https://media.infra-m.ru/2151/2151101/cover/2151101.jpg", "Обложка")</f>
        <v>Обложка</v>
      </c>
      <c r="V321" s="24" t="str">
        <f>HYPERLINK("https://znanium.ru/catalog/product/2151101", "Ознакомиться")</f>
        <v>Ознакомиться</v>
      </c>
      <c r="W321" s="8" t="s">
        <v>730</v>
      </c>
      <c r="X321" s="6"/>
      <c r="Y321" s="6"/>
      <c r="Z321" s="6"/>
      <c r="AA321" s="6" t="s">
        <v>360</v>
      </c>
      <c r="AB321" s="8"/>
    </row>
    <row r="322" spans="1:28" s="4" customFormat="1" ht="44.1" customHeight="1">
      <c r="A322" s="5">
        <v>0</v>
      </c>
      <c r="B322" s="6" t="s">
        <v>2051</v>
      </c>
      <c r="C322" s="13">
        <v>444</v>
      </c>
      <c r="D322" s="8" t="s">
        <v>2052</v>
      </c>
      <c r="E322" s="8" t="s">
        <v>2053</v>
      </c>
      <c r="F322" s="8" t="s">
        <v>2054</v>
      </c>
      <c r="G322" s="6" t="s">
        <v>38</v>
      </c>
      <c r="H322" s="6" t="s">
        <v>39</v>
      </c>
      <c r="I322" s="8" t="s">
        <v>40</v>
      </c>
      <c r="J322" s="9">
        <v>1</v>
      </c>
      <c r="K322" s="9">
        <v>82</v>
      </c>
      <c r="L322" s="9">
        <v>2023</v>
      </c>
      <c r="M322" s="8" t="s">
        <v>2055</v>
      </c>
      <c r="N322" s="8" t="s">
        <v>42</v>
      </c>
      <c r="O322" s="8" t="s">
        <v>43</v>
      </c>
      <c r="P322" s="6" t="s">
        <v>44</v>
      </c>
      <c r="Q322" s="8" t="s">
        <v>45</v>
      </c>
      <c r="R322" s="10" t="s">
        <v>2056</v>
      </c>
      <c r="S322" s="11"/>
      <c r="T322" s="6"/>
      <c r="U322" s="24" t="str">
        <f>HYPERLINK("https://media.infra-m.ru/1915/1915664/cover/1915664.jpg", "Обложка")</f>
        <v>Обложка</v>
      </c>
      <c r="V322" s="24" t="str">
        <f>HYPERLINK("https://znanium.ru/catalog/product/1915664", "Ознакомиться")</f>
        <v>Ознакомиться</v>
      </c>
      <c r="W322" s="8" t="s">
        <v>220</v>
      </c>
      <c r="X322" s="6"/>
      <c r="Y322" s="6"/>
      <c r="Z322" s="6"/>
      <c r="AA322" s="6" t="s">
        <v>227</v>
      </c>
      <c r="AB322" s="8"/>
    </row>
    <row r="323" spans="1:28" s="4" customFormat="1" ht="51.95" customHeight="1">
      <c r="A323" s="5">
        <v>0</v>
      </c>
      <c r="B323" s="6" t="s">
        <v>2057</v>
      </c>
      <c r="C323" s="7">
        <v>2460</v>
      </c>
      <c r="D323" s="8" t="s">
        <v>2058</v>
      </c>
      <c r="E323" s="8" t="s">
        <v>2059</v>
      </c>
      <c r="F323" s="8" t="s">
        <v>2060</v>
      </c>
      <c r="G323" s="6" t="s">
        <v>96</v>
      </c>
      <c r="H323" s="6" t="s">
        <v>39</v>
      </c>
      <c r="I323" s="8"/>
      <c r="J323" s="9">
        <v>1</v>
      </c>
      <c r="K323" s="9">
        <v>525</v>
      </c>
      <c r="L323" s="9">
        <v>2021</v>
      </c>
      <c r="M323" s="8" t="s">
        <v>2061</v>
      </c>
      <c r="N323" s="8" t="s">
        <v>42</v>
      </c>
      <c r="O323" s="8" t="s">
        <v>89</v>
      </c>
      <c r="P323" s="6" t="s">
        <v>44</v>
      </c>
      <c r="Q323" s="8" t="s">
        <v>45</v>
      </c>
      <c r="R323" s="10" t="s">
        <v>2062</v>
      </c>
      <c r="S323" s="11"/>
      <c r="T323" s="6"/>
      <c r="U323" s="24" t="str">
        <f>HYPERLINK("https://media.infra-m.ru/1863/1863807/cover/1863807.jpg", "Обложка")</f>
        <v>Обложка</v>
      </c>
      <c r="V323" s="24" t="str">
        <f>HYPERLINK("https://znanium.ru/catalog/product/1844348", "Ознакомиться")</f>
        <v>Ознакомиться</v>
      </c>
      <c r="W323" s="8"/>
      <c r="X323" s="6"/>
      <c r="Y323" s="6"/>
      <c r="Z323" s="6"/>
      <c r="AA323" s="6" t="s">
        <v>129</v>
      </c>
      <c r="AB323" s="8"/>
    </row>
    <row r="324" spans="1:28" s="4" customFormat="1" ht="42" customHeight="1">
      <c r="A324" s="5">
        <v>0</v>
      </c>
      <c r="B324" s="6" t="s">
        <v>2063</v>
      </c>
      <c r="C324" s="13">
        <v>708</v>
      </c>
      <c r="D324" s="8" t="s">
        <v>2064</v>
      </c>
      <c r="E324" s="8" t="s">
        <v>2065</v>
      </c>
      <c r="F324" s="8" t="s">
        <v>291</v>
      </c>
      <c r="G324" s="6" t="s">
        <v>38</v>
      </c>
      <c r="H324" s="6" t="s">
        <v>39</v>
      </c>
      <c r="I324" s="8" t="s">
        <v>40</v>
      </c>
      <c r="J324" s="9">
        <v>1</v>
      </c>
      <c r="K324" s="9">
        <v>167</v>
      </c>
      <c r="L324" s="9">
        <v>2021</v>
      </c>
      <c r="M324" s="8" t="s">
        <v>2066</v>
      </c>
      <c r="N324" s="8" t="s">
        <v>42</v>
      </c>
      <c r="O324" s="8" t="s">
        <v>72</v>
      </c>
      <c r="P324" s="6" t="s">
        <v>44</v>
      </c>
      <c r="Q324" s="8" t="s">
        <v>45</v>
      </c>
      <c r="R324" s="10" t="s">
        <v>581</v>
      </c>
      <c r="S324" s="11"/>
      <c r="T324" s="6"/>
      <c r="U324" s="24" t="str">
        <f>HYPERLINK("https://media.infra-m.ru/1095/1095735/cover/1095735.jpg", "Обложка")</f>
        <v>Обложка</v>
      </c>
      <c r="V324" s="24" t="str">
        <f>HYPERLINK("https://znanium.ru/catalog/product/1095735", "Ознакомиться")</f>
        <v>Ознакомиться</v>
      </c>
      <c r="W324" s="8" t="s">
        <v>293</v>
      </c>
      <c r="X324" s="6"/>
      <c r="Y324" s="6"/>
      <c r="Z324" s="6"/>
      <c r="AA324" s="6" t="s">
        <v>213</v>
      </c>
      <c r="AB324" s="8" t="s">
        <v>1357</v>
      </c>
    </row>
    <row r="325" spans="1:28" s="4" customFormat="1" ht="44.1" customHeight="1">
      <c r="A325" s="5">
        <v>0</v>
      </c>
      <c r="B325" s="6" t="s">
        <v>2067</v>
      </c>
      <c r="C325" s="7">
        <v>1428</v>
      </c>
      <c r="D325" s="8" t="s">
        <v>2068</v>
      </c>
      <c r="E325" s="8" t="s">
        <v>2069</v>
      </c>
      <c r="F325" s="8" t="s">
        <v>516</v>
      </c>
      <c r="G325" s="6" t="s">
        <v>62</v>
      </c>
      <c r="H325" s="6" t="s">
        <v>39</v>
      </c>
      <c r="I325" s="8" t="s">
        <v>40</v>
      </c>
      <c r="J325" s="9">
        <v>1</v>
      </c>
      <c r="K325" s="9">
        <v>258</v>
      </c>
      <c r="L325" s="9">
        <v>2024</v>
      </c>
      <c r="M325" s="8" t="s">
        <v>2070</v>
      </c>
      <c r="N325" s="8" t="s">
        <v>42</v>
      </c>
      <c r="O325" s="8" t="s">
        <v>43</v>
      </c>
      <c r="P325" s="6" t="s">
        <v>44</v>
      </c>
      <c r="Q325" s="8" t="s">
        <v>45</v>
      </c>
      <c r="R325" s="10" t="s">
        <v>2071</v>
      </c>
      <c r="S325" s="11"/>
      <c r="T325" s="6"/>
      <c r="U325" s="24" t="str">
        <f>HYPERLINK("https://media.infra-m.ru/2115/2115738/cover/2115738.jpg", "Обложка")</f>
        <v>Обложка</v>
      </c>
      <c r="V325" s="24" t="str">
        <f>HYPERLINK("https://znanium.ru/catalog/product/2115738", "Ознакомиться")</f>
        <v>Ознакомиться</v>
      </c>
      <c r="W325" s="8" t="s">
        <v>263</v>
      </c>
      <c r="X325" s="6"/>
      <c r="Y325" s="6"/>
      <c r="Z325" s="6"/>
      <c r="AA325" s="6" t="s">
        <v>1688</v>
      </c>
      <c r="AB325" s="8"/>
    </row>
    <row r="326" spans="1:28" s="4" customFormat="1" ht="42" customHeight="1">
      <c r="A326" s="5">
        <v>0</v>
      </c>
      <c r="B326" s="6" t="s">
        <v>2072</v>
      </c>
      <c r="C326" s="13">
        <v>564</v>
      </c>
      <c r="D326" s="8" t="s">
        <v>2073</v>
      </c>
      <c r="E326" s="8" t="s">
        <v>2074</v>
      </c>
      <c r="F326" s="8" t="s">
        <v>2075</v>
      </c>
      <c r="G326" s="6" t="s">
        <v>38</v>
      </c>
      <c r="H326" s="6" t="s">
        <v>39</v>
      </c>
      <c r="I326" s="8" t="s">
        <v>1352</v>
      </c>
      <c r="J326" s="9">
        <v>1</v>
      </c>
      <c r="K326" s="9">
        <v>77</v>
      </c>
      <c r="L326" s="9">
        <v>2022</v>
      </c>
      <c r="M326" s="8" t="s">
        <v>2076</v>
      </c>
      <c r="N326" s="8" t="s">
        <v>177</v>
      </c>
      <c r="O326" s="8" t="s">
        <v>524</v>
      </c>
      <c r="P326" s="6" t="s">
        <v>154</v>
      </c>
      <c r="Q326" s="8" t="s">
        <v>200</v>
      </c>
      <c r="R326" s="10" t="s">
        <v>2077</v>
      </c>
      <c r="S326" s="11"/>
      <c r="T326" s="6"/>
      <c r="U326" s="24" t="str">
        <f>HYPERLINK("https://media.infra-m.ru/1946/1946191/cover/1946191.jpg", "Обложка")</f>
        <v>Обложка</v>
      </c>
      <c r="V326" s="24" t="str">
        <f>HYPERLINK("https://znanium.ru/catalog/product/1922279", "Ознакомиться")</f>
        <v>Ознакомиться</v>
      </c>
      <c r="W326" s="8" t="s">
        <v>2078</v>
      </c>
      <c r="X326" s="6"/>
      <c r="Y326" s="6"/>
      <c r="Z326" s="6"/>
      <c r="AA326" s="6" t="s">
        <v>264</v>
      </c>
      <c r="AB326" s="8"/>
    </row>
    <row r="327" spans="1:28" s="4" customFormat="1" ht="42" customHeight="1">
      <c r="A327" s="5">
        <v>0</v>
      </c>
      <c r="B327" s="6" t="s">
        <v>2079</v>
      </c>
      <c r="C327" s="13">
        <v>804</v>
      </c>
      <c r="D327" s="8" t="s">
        <v>2080</v>
      </c>
      <c r="E327" s="8" t="s">
        <v>2081</v>
      </c>
      <c r="F327" s="8" t="s">
        <v>1978</v>
      </c>
      <c r="G327" s="6" t="s">
        <v>38</v>
      </c>
      <c r="H327" s="6" t="s">
        <v>39</v>
      </c>
      <c r="I327" s="8" t="s">
        <v>40</v>
      </c>
      <c r="J327" s="9">
        <v>1</v>
      </c>
      <c r="K327" s="9">
        <v>141</v>
      </c>
      <c r="L327" s="9">
        <v>2023</v>
      </c>
      <c r="M327" s="8" t="s">
        <v>2082</v>
      </c>
      <c r="N327" s="8" t="s">
        <v>42</v>
      </c>
      <c r="O327" s="8" t="s">
        <v>43</v>
      </c>
      <c r="P327" s="6" t="s">
        <v>44</v>
      </c>
      <c r="Q327" s="8" t="s">
        <v>45</v>
      </c>
      <c r="R327" s="10" t="s">
        <v>485</v>
      </c>
      <c r="S327" s="11"/>
      <c r="T327" s="6"/>
      <c r="U327" s="24" t="str">
        <f>HYPERLINK("https://media.infra-m.ru/1894/1894396/cover/1894396.jpg", "Обложка")</f>
        <v>Обложка</v>
      </c>
      <c r="V327" s="24" t="str">
        <f>HYPERLINK("https://znanium.ru/catalog/product/1894396", "Ознакомиться")</f>
        <v>Ознакомиться</v>
      </c>
      <c r="W327" s="8"/>
      <c r="X327" s="6"/>
      <c r="Y327" s="6"/>
      <c r="Z327" s="6"/>
      <c r="AA327" s="6" t="s">
        <v>91</v>
      </c>
      <c r="AB327" s="8"/>
    </row>
    <row r="328" spans="1:28" s="4" customFormat="1" ht="42" customHeight="1">
      <c r="A328" s="5">
        <v>0</v>
      </c>
      <c r="B328" s="6" t="s">
        <v>2083</v>
      </c>
      <c r="C328" s="7">
        <v>1198.5999999999999</v>
      </c>
      <c r="D328" s="8" t="s">
        <v>2084</v>
      </c>
      <c r="E328" s="8" t="s">
        <v>2085</v>
      </c>
      <c r="F328" s="8"/>
      <c r="G328" s="6" t="s">
        <v>628</v>
      </c>
      <c r="H328" s="6" t="s">
        <v>39</v>
      </c>
      <c r="I328" s="8"/>
      <c r="J328" s="9">
        <v>20</v>
      </c>
      <c r="K328" s="9">
        <v>40</v>
      </c>
      <c r="L328" s="9">
        <v>2017</v>
      </c>
      <c r="M328" s="8"/>
      <c r="N328" s="8" t="s">
        <v>119</v>
      </c>
      <c r="O328" s="8" t="s">
        <v>162</v>
      </c>
      <c r="P328" s="6" t="s">
        <v>121</v>
      </c>
      <c r="Q328" s="8" t="s">
        <v>45</v>
      </c>
      <c r="R328" s="10" t="s">
        <v>2086</v>
      </c>
      <c r="S328" s="11"/>
      <c r="T328" s="6"/>
      <c r="U328" s="24" t="str">
        <f>HYPERLINK("https://media.infra-m.ru/0882/0882652/cover/882652.jpg", "Обложка")</f>
        <v>Обложка</v>
      </c>
      <c r="V328" s="24" t="str">
        <f>HYPERLINK("https://znanium.ru/catalog/product/2212128", "Ознакомиться")</f>
        <v>Ознакомиться</v>
      </c>
      <c r="W328" s="8"/>
      <c r="X328" s="6"/>
      <c r="Y328" s="6"/>
      <c r="Z328" s="6"/>
      <c r="AA328" s="6"/>
      <c r="AB328" s="8"/>
    </row>
    <row r="329" spans="1:28" s="4" customFormat="1" ht="42" customHeight="1">
      <c r="A329" s="5">
        <v>0</v>
      </c>
      <c r="B329" s="6" t="s">
        <v>2087</v>
      </c>
      <c r="C329" s="7">
        <v>1195.9000000000001</v>
      </c>
      <c r="D329" s="8" t="s">
        <v>2088</v>
      </c>
      <c r="E329" s="8" t="s">
        <v>2089</v>
      </c>
      <c r="F329" s="8"/>
      <c r="G329" s="6" t="s">
        <v>38</v>
      </c>
      <c r="H329" s="6" t="s">
        <v>39</v>
      </c>
      <c r="I329" s="8"/>
      <c r="J329" s="9">
        <v>20</v>
      </c>
      <c r="K329" s="9">
        <v>68</v>
      </c>
      <c r="L329" s="9">
        <v>2017</v>
      </c>
      <c r="M329" s="8"/>
      <c r="N329" s="8" t="s">
        <v>119</v>
      </c>
      <c r="O329" s="8" t="s">
        <v>458</v>
      </c>
      <c r="P329" s="6" t="s">
        <v>121</v>
      </c>
      <c r="Q329" s="8" t="s">
        <v>45</v>
      </c>
      <c r="R329" s="10"/>
      <c r="S329" s="11"/>
      <c r="T329" s="6"/>
      <c r="U329" s="24" t="str">
        <f>HYPERLINK("https://media.infra-m.ru/0882/0882671/cover/882671.jpg", "Обложка")</f>
        <v>Обложка</v>
      </c>
      <c r="V329" s="24" t="str">
        <f>HYPERLINK("https://znanium.ru/catalog/product/2174196", "Ознакомиться")</f>
        <v>Ознакомиться</v>
      </c>
      <c r="W329" s="8"/>
      <c r="X329" s="6"/>
      <c r="Y329" s="6"/>
      <c r="Z329" s="6"/>
      <c r="AA329" s="6"/>
      <c r="AB329" s="8"/>
    </row>
    <row r="330" spans="1:28" s="4" customFormat="1" ht="42" customHeight="1">
      <c r="A330" s="5">
        <v>0</v>
      </c>
      <c r="B330" s="6" t="s">
        <v>2090</v>
      </c>
      <c r="C330" s="7">
        <v>1199.9000000000001</v>
      </c>
      <c r="D330" s="8" t="s">
        <v>2091</v>
      </c>
      <c r="E330" s="8" t="s">
        <v>2092</v>
      </c>
      <c r="F330" s="8"/>
      <c r="G330" s="6" t="s">
        <v>38</v>
      </c>
      <c r="H330" s="6" t="s">
        <v>39</v>
      </c>
      <c r="I330" s="8"/>
      <c r="J330" s="9">
        <v>20</v>
      </c>
      <c r="K330" s="9">
        <v>66</v>
      </c>
      <c r="L330" s="9">
        <v>2017</v>
      </c>
      <c r="M330" s="8"/>
      <c r="N330" s="8" t="s">
        <v>119</v>
      </c>
      <c r="O330" s="8" t="s">
        <v>432</v>
      </c>
      <c r="P330" s="6" t="s">
        <v>121</v>
      </c>
      <c r="Q330" s="8" t="s">
        <v>45</v>
      </c>
      <c r="R330" s="10" t="s">
        <v>2093</v>
      </c>
      <c r="S330" s="11"/>
      <c r="T330" s="6"/>
      <c r="U330" s="24" t="str">
        <f>HYPERLINK("https://media.infra-m.ru/0929/0929049/cover/929049.jpg", "Обложка")</f>
        <v>Обложка</v>
      </c>
      <c r="V330" s="24" t="str">
        <f>HYPERLINK("https://znanium.ru/catalog/product/2174207", "Ознакомиться")</f>
        <v>Ознакомиться</v>
      </c>
      <c r="W330" s="8"/>
      <c r="X330" s="6"/>
      <c r="Y330" s="6"/>
      <c r="Z330" s="6"/>
      <c r="AA330" s="6"/>
      <c r="AB330" s="8"/>
    </row>
    <row r="331" spans="1:28" s="4" customFormat="1" ht="42" customHeight="1">
      <c r="A331" s="5">
        <v>0</v>
      </c>
      <c r="B331" s="6" t="s">
        <v>2094</v>
      </c>
      <c r="C331" s="7">
        <v>1198.5999999999999</v>
      </c>
      <c r="D331" s="8" t="s">
        <v>2095</v>
      </c>
      <c r="E331" s="8" t="s">
        <v>2096</v>
      </c>
      <c r="F331" s="8"/>
      <c r="G331" s="6" t="s">
        <v>38</v>
      </c>
      <c r="H331" s="6" t="s">
        <v>39</v>
      </c>
      <c r="I331" s="8"/>
      <c r="J331" s="9">
        <v>20</v>
      </c>
      <c r="K331" s="9">
        <v>66</v>
      </c>
      <c r="L331" s="9">
        <v>2017</v>
      </c>
      <c r="M331" s="8"/>
      <c r="N331" s="8" t="s">
        <v>119</v>
      </c>
      <c r="O331" s="8" t="s">
        <v>432</v>
      </c>
      <c r="P331" s="6" t="s">
        <v>121</v>
      </c>
      <c r="Q331" s="8" t="s">
        <v>45</v>
      </c>
      <c r="R331" s="10"/>
      <c r="S331" s="11"/>
      <c r="T331" s="6"/>
      <c r="U331" s="24" t="str">
        <f>HYPERLINK("https://media.infra-m.ru/0882/0882665/cover/882665.jpg", "Обложка")</f>
        <v>Обложка</v>
      </c>
      <c r="V331" s="24" t="str">
        <f>HYPERLINK("https://znanium.ru/catalog/product/2174202", "Ознакомиться")</f>
        <v>Ознакомиться</v>
      </c>
      <c r="W331" s="8"/>
      <c r="X331" s="6"/>
      <c r="Y331" s="6"/>
      <c r="Z331" s="6"/>
      <c r="AA331" s="6"/>
      <c r="AB331" s="8"/>
    </row>
    <row r="332" spans="1:28" s="4" customFormat="1" ht="42" customHeight="1">
      <c r="A332" s="5">
        <v>0</v>
      </c>
      <c r="B332" s="6" t="s">
        <v>2097</v>
      </c>
      <c r="C332" s="7">
        <v>2004</v>
      </c>
      <c r="D332" s="8" t="s">
        <v>2098</v>
      </c>
      <c r="E332" s="8" t="s">
        <v>2099</v>
      </c>
      <c r="F332" s="8" t="s">
        <v>2100</v>
      </c>
      <c r="G332" s="6" t="s">
        <v>62</v>
      </c>
      <c r="H332" s="6" t="s">
        <v>39</v>
      </c>
      <c r="I332" s="8" t="s">
        <v>40</v>
      </c>
      <c r="J332" s="9">
        <v>1</v>
      </c>
      <c r="K332" s="9">
        <v>363</v>
      </c>
      <c r="L332" s="9">
        <v>2023</v>
      </c>
      <c r="M332" s="8" t="s">
        <v>2101</v>
      </c>
      <c r="N332" s="8" t="s">
        <v>119</v>
      </c>
      <c r="O332" s="8" t="s">
        <v>432</v>
      </c>
      <c r="P332" s="6" t="s">
        <v>248</v>
      </c>
      <c r="Q332" s="8" t="s">
        <v>45</v>
      </c>
      <c r="R332" s="10" t="s">
        <v>2102</v>
      </c>
      <c r="S332" s="11"/>
      <c r="T332" s="6"/>
      <c r="U332" s="24" t="str">
        <f>HYPERLINK("https://media.infra-m.ru/1896/1896439/cover/1896439.jpg", "Обложка")</f>
        <v>Обложка</v>
      </c>
      <c r="V332" s="24" t="str">
        <f>HYPERLINK("https://znanium.ru/catalog/product/2078365", "Ознакомиться")</f>
        <v>Ознакомиться</v>
      </c>
      <c r="W332" s="8" t="s">
        <v>2103</v>
      </c>
      <c r="X332" s="6"/>
      <c r="Y332" s="6"/>
      <c r="Z332" s="6"/>
      <c r="AA332" s="6" t="s">
        <v>213</v>
      </c>
      <c r="AB332" s="8"/>
    </row>
    <row r="333" spans="1:28" s="4" customFormat="1" ht="42" customHeight="1">
      <c r="A333" s="5">
        <v>0</v>
      </c>
      <c r="B333" s="6" t="s">
        <v>2104</v>
      </c>
      <c r="C333" s="7">
        <v>2212.8000000000002</v>
      </c>
      <c r="D333" s="8" t="s">
        <v>2105</v>
      </c>
      <c r="E333" s="8" t="s">
        <v>2106</v>
      </c>
      <c r="F333" s="8" t="s">
        <v>2107</v>
      </c>
      <c r="G333" s="6" t="s">
        <v>96</v>
      </c>
      <c r="H333" s="6" t="s">
        <v>466</v>
      </c>
      <c r="I333" s="8" t="s">
        <v>2108</v>
      </c>
      <c r="J333" s="9">
        <v>1</v>
      </c>
      <c r="K333" s="9">
        <v>368</v>
      </c>
      <c r="L333" s="9">
        <v>2023</v>
      </c>
      <c r="M333" s="8" t="s">
        <v>2109</v>
      </c>
      <c r="N333" s="8" t="s">
        <v>119</v>
      </c>
      <c r="O333" s="8" t="s">
        <v>432</v>
      </c>
      <c r="P333" s="6" t="s">
        <v>248</v>
      </c>
      <c r="Q333" s="8" t="s">
        <v>45</v>
      </c>
      <c r="R333" s="10" t="s">
        <v>2110</v>
      </c>
      <c r="S333" s="11"/>
      <c r="T333" s="6"/>
      <c r="U333" s="24" t="str">
        <f>HYPERLINK("https://media.infra-m.ru/2018/2018244/cover/2018244.jpg", "Обложка")</f>
        <v>Обложка</v>
      </c>
      <c r="V333" s="24" t="str">
        <f>HYPERLINK("https://znanium.ru/catalog/product/449418", "Ознакомиться")</f>
        <v>Ознакомиться</v>
      </c>
      <c r="W333" s="8" t="s">
        <v>493</v>
      </c>
      <c r="X333" s="6"/>
      <c r="Y333" s="6"/>
      <c r="Z333" s="6"/>
      <c r="AA333" s="6" t="s">
        <v>183</v>
      </c>
      <c r="AB333" s="8"/>
    </row>
    <row r="334" spans="1:28" s="4" customFormat="1" ht="51.95" customHeight="1">
      <c r="A334" s="5">
        <v>0</v>
      </c>
      <c r="B334" s="6" t="s">
        <v>2111</v>
      </c>
      <c r="C334" s="7">
        <v>3616.8</v>
      </c>
      <c r="D334" s="8" t="s">
        <v>2112</v>
      </c>
      <c r="E334" s="8" t="s">
        <v>2113</v>
      </c>
      <c r="F334" s="8" t="s">
        <v>2114</v>
      </c>
      <c r="G334" s="6" t="s">
        <v>96</v>
      </c>
      <c r="H334" s="6" t="s">
        <v>1067</v>
      </c>
      <c r="I334" s="8"/>
      <c r="J334" s="9">
        <v>1</v>
      </c>
      <c r="K334" s="9">
        <v>882</v>
      </c>
      <c r="L334" s="9">
        <v>2026</v>
      </c>
      <c r="M334" s="8" t="s">
        <v>2115</v>
      </c>
      <c r="N334" s="8" t="s">
        <v>119</v>
      </c>
      <c r="O334" s="8" t="s">
        <v>432</v>
      </c>
      <c r="P334" s="6" t="s">
        <v>1083</v>
      </c>
      <c r="Q334" s="8" t="s">
        <v>180</v>
      </c>
      <c r="R334" s="10" t="s">
        <v>2116</v>
      </c>
      <c r="S334" s="11"/>
      <c r="T334" s="6"/>
      <c r="U334" s="24" t="str">
        <f>HYPERLINK("https://media.infra-m.ru/2222/2222979/cover/2222979.jpg", "Обложка")</f>
        <v>Обложка</v>
      </c>
      <c r="V334" s="24" t="str">
        <f>HYPERLINK("https://znanium.ru/catalog/product/1059305", "Ознакомиться")</f>
        <v>Ознакомиться</v>
      </c>
      <c r="W334" s="8" t="s">
        <v>2117</v>
      </c>
      <c r="X334" s="6"/>
      <c r="Y334" s="6"/>
      <c r="Z334" s="6"/>
      <c r="AA334" s="6" t="s">
        <v>2118</v>
      </c>
      <c r="AB334" s="8"/>
    </row>
    <row r="335" spans="1:28" s="4" customFormat="1" ht="42" customHeight="1">
      <c r="A335" s="5">
        <v>0</v>
      </c>
      <c r="B335" s="6" t="s">
        <v>2119</v>
      </c>
      <c r="C335" s="7">
        <v>1176</v>
      </c>
      <c r="D335" s="8" t="s">
        <v>2120</v>
      </c>
      <c r="E335" s="8" t="s">
        <v>2121</v>
      </c>
      <c r="F335" s="8" t="s">
        <v>2122</v>
      </c>
      <c r="G335" s="6" t="s">
        <v>96</v>
      </c>
      <c r="H335" s="6" t="s">
        <v>39</v>
      </c>
      <c r="I335" s="8" t="s">
        <v>40</v>
      </c>
      <c r="J335" s="9">
        <v>1</v>
      </c>
      <c r="K335" s="9">
        <v>181</v>
      </c>
      <c r="L335" s="9">
        <v>2024</v>
      </c>
      <c r="M335" s="8" t="s">
        <v>2123</v>
      </c>
      <c r="N335" s="8" t="s">
        <v>144</v>
      </c>
      <c r="O335" s="8" t="s">
        <v>145</v>
      </c>
      <c r="P335" s="6" t="s">
        <v>44</v>
      </c>
      <c r="Q335" s="8" t="s">
        <v>45</v>
      </c>
      <c r="R335" s="10" t="s">
        <v>2124</v>
      </c>
      <c r="S335" s="11"/>
      <c r="T335" s="6"/>
      <c r="U335" s="24" t="str">
        <f>HYPERLINK("https://media.infra-m.ru/2148/2148761/cover/2148761.jpg", "Обложка")</f>
        <v>Обложка</v>
      </c>
      <c r="V335" s="24" t="str">
        <f>HYPERLINK("https://znanium.ru/catalog/product/2148761", "Ознакомиться")</f>
        <v>Ознакомиться</v>
      </c>
      <c r="W335" s="8" t="s">
        <v>2125</v>
      </c>
      <c r="X335" s="6"/>
      <c r="Y335" s="6"/>
      <c r="Z335" s="6"/>
      <c r="AA335" s="6" t="s">
        <v>48</v>
      </c>
      <c r="AB335" s="8"/>
    </row>
    <row r="336" spans="1:28" s="4" customFormat="1" ht="42" customHeight="1">
      <c r="A336" s="5">
        <v>0</v>
      </c>
      <c r="B336" s="6" t="s">
        <v>2126</v>
      </c>
      <c r="C336" s="7">
        <v>1116</v>
      </c>
      <c r="D336" s="8" t="s">
        <v>2127</v>
      </c>
      <c r="E336" s="8" t="s">
        <v>2128</v>
      </c>
      <c r="F336" s="8" t="s">
        <v>2129</v>
      </c>
      <c r="G336" s="6" t="s">
        <v>38</v>
      </c>
      <c r="H336" s="6" t="s">
        <v>39</v>
      </c>
      <c r="I336" s="8" t="s">
        <v>40</v>
      </c>
      <c r="J336" s="9">
        <v>1</v>
      </c>
      <c r="K336" s="9">
        <v>192</v>
      </c>
      <c r="L336" s="9">
        <v>2024</v>
      </c>
      <c r="M336" s="8" t="s">
        <v>2130</v>
      </c>
      <c r="N336" s="8" t="s">
        <v>42</v>
      </c>
      <c r="O336" s="8" t="s">
        <v>908</v>
      </c>
      <c r="P336" s="6" t="s">
        <v>44</v>
      </c>
      <c r="Q336" s="8" t="s">
        <v>45</v>
      </c>
      <c r="R336" s="10" t="s">
        <v>2131</v>
      </c>
      <c r="S336" s="11"/>
      <c r="T336" s="6"/>
      <c r="U336" s="24" t="str">
        <f>HYPERLINK("https://media.infra-m.ru/2074/2074251/cover/2074251.jpg", "Обложка")</f>
        <v>Обложка</v>
      </c>
      <c r="V336" s="24" t="str">
        <f>HYPERLINK("https://znanium.ru/catalog/product/2074251", "Ознакомиться")</f>
        <v>Ознакомиться</v>
      </c>
      <c r="W336" s="8" t="s">
        <v>2132</v>
      </c>
      <c r="X336" s="6"/>
      <c r="Y336" s="6"/>
      <c r="Z336" s="6"/>
      <c r="AA336" s="6" t="s">
        <v>48</v>
      </c>
      <c r="AB336" s="8"/>
    </row>
    <row r="337" spans="1:28" s="4" customFormat="1" ht="42" customHeight="1">
      <c r="A337" s="5">
        <v>0</v>
      </c>
      <c r="B337" s="6" t="s">
        <v>2133</v>
      </c>
      <c r="C337" s="7">
        <v>2760</v>
      </c>
      <c r="D337" s="8" t="s">
        <v>2134</v>
      </c>
      <c r="E337" s="8" t="s">
        <v>2135</v>
      </c>
      <c r="F337" s="8" t="s">
        <v>2136</v>
      </c>
      <c r="G337" s="6" t="s">
        <v>96</v>
      </c>
      <c r="H337" s="6" t="s">
        <v>1083</v>
      </c>
      <c r="I337" s="8"/>
      <c r="J337" s="9">
        <v>1</v>
      </c>
      <c r="K337" s="9">
        <v>480</v>
      </c>
      <c r="L337" s="9">
        <v>2019</v>
      </c>
      <c r="M337" s="8" t="s">
        <v>2137</v>
      </c>
      <c r="N337" s="8" t="s">
        <v>306</v>
      </c>
      <c r="O337" s="8" t="s">
        <v>1085</v>
      </c>
      <c r="P337" s="6" t="s">
        <v>1083</v>
      </c>
      <c r="Q337" s="8" t="s">
        <v>200</v>
      </c>
      <c r="R337" s="10" t="s">
        <v>2138</v>
      </c>
      <c r="S337" s="11"/>
      <c r="T337" s="6"/>
      <c r="U337" s="24" t="str">
        <f>HYPERLINK("https://media.infra-m.ru/1001/1001521/cover/1001521.jpg", "Обложка")</f>
        <v>Обложка</v>
      </c>
      <c r="V337" s="12"/>
      <c r="W337" s="8" t="s">
        <v>358</v>
      </c>
      <c r="X337" s="6"/>
      <c r="Y337" s="6"/>
      <c r="Z337" s="6"/>
      <c r="AA337" s="6" t="s">
        <v>470</v>
      </c>
      <c r="AB337" s="8"/>
    </row>
    <row r="338" spans="1:28" s="4" customFormat="1" ht="42" customHeight="1">
      <c r="A338" s="5">
        <v>0</v>
      </c>
      <c r="B338" s="6" t="s">
        <v>2139</v>
      </c>
      <c r="C338" s="7">
        <v>2760</v>
      </c>
      <c r="D338" s="8" t="s">
        <v>2140</v>
      </c>
      <c r="E338" s="8" t="s">
        <v>2141</v>
      </c>
      <c r="F338" s="8" t="s">
        <v>2136</v>
      </c>
      <c r="G338" s="6" t="s">
        <v>96</v>
      </c>
      <c r="H338" s="6" t="s">
        <v>1083</v>
      </c>
      <c r="I338" s="8"/>
      <c r="J338" s="9">
        <v>1</v>
      </c>
      <c r="K338" s="9">
        <v>480</v>
      </c>
      <c r="L338" s="9">
        <v>2019</v>
      </c>
      <c r="M338" s="8" t="s">
        <v>2142</v>
      </c>
      <c r="N338" s="8" t="s">
        <v>306</v>
      </c>
      <c r="O338" s="8" t="s">
        <v>1085</v>
      </c>
      <c r="P338" s="6" t="s">
        <v>1083</v>
      </c>
      <c r="Q338" s="8" t="s">
        <v>200</v>
      </c>
      <c r="R338" s="10" t="s">
        <v>2138</v>
      </c>
      <c r="S338" s="11"/>
      <c r="T338" s="6"/>
      <c r="U338" s="24" t="str">
        <f>HYPERLINK("https://media.infra-m.ru/1002/1002230/cover/1002230.jpg", "Обложка")</f>
        <v>Обложка</v>
      </c>
      <c r="V338" s="12"/>
      <c r="W338" s="8" t="s">
        <v>358</v>
      </c>
      <c r="X338" s="6"/>
      <c r="Y338" s="6"/>
      <c r="Z338" s="6"/>
      <c r="AA338" s="6" t="s">
        <v>470</v>
      </c>
      <c r="AB338" s="8"/>
    </row>
    <row r="339" spans="1:28" s="4" customFormat="1" ht="42" customHeight="1">
      <c r="A339" s="5">
        <v>0</v>
      </c>
      <c r="B339" s="6" t="s">
        <v>2143</v>
      </c>
      <c r="C339" s="7">
        <v>2760</v>
      </c>
      <c r="D339" s="8" t="s">
        <v>2144</v>
      </c>
      <c r="E339" s="8" t="s">
        <v>2145</v>
      </c>
      <c r="F339" s="8" t="s">
        <v>2136</v>
      </c>
      <c r="G339" s="6" t="s">
        <v>1499</v>
      </c>
      <c r="H339" s="6" t="s">
        <v>1083</v>
      </c>
      <c r="I339" s="8"/>
      <c r="J339" s="9">
        <v>5</v>
      </c>
      <c r="K339" s="9">
        <v>480</v>
      </c>
      <c r="L339" s="9">
        <v>2015</v>
      </c>
      <c r="M339" s="8" t="s">
        <v>2146</v>
      </c>
      <c r="N339" s="8" t="s">
        <v>306</v>
      </c>
      <c r="O339" s="8" t="s">
        <v>1085</v>
      </c>
      <c r="P339" s="6" t="s">
        <v>1083</v>
      </c>
      <c r="Q339" s="8" t="s">
        <v>1435</v>
      </c>
      <c r="R339" s="10" t="s">
        <v>2138</v>
      </c>
      <c r="S339" s="11"/>
      <c r="T339" s="6"/>
      <c r="U339" s="24" t="str">
        <f>HYPERLINK("https://media.infra-m.ru/0429/0429968/cover/429968.jpg", "Обложка")</f>
        <v>Обложка</v>
      </c>
      <c r="V339" s="12"/>
      <c r="W339" s="8" t="s">
        <v>358</v>
      </c>
      <c r="X339" s="6"/>
      <c r="Y339" s="6"/>
      <c r="Z339" s="6"/>
      <c r="AA339" s="6" t="s">
        <v>183</v>
      </c>
      <c r="AB339" s="8"/>
    </row>
    <row r="340" spans="1:28" s="4" customFormat="1" ht="42" customHeight="1">
      <c r="A340" s="5">
        <v>0</v>
      </c>
      <c r="B340" s="6" t="s">
        <v>2147</v>
      </c>
      <c r="C340" s="7">
        <v>4196.3999999999996</v>
      </c>
      <c r="D340" s="8" t="s">
        <v>2148</v>
      </c>
      <c r="E340" s="8" t="s">
        <v>2149</v>
      </c>
      <c r="F340" s="8" t="s">
        <v>2136</v>
      </c>
      <c r="G340" s="6" t="s">
        <v>96</v>
      </c>
      <c r="H340" s="6" t="s">
        <v>1083</v>
      </c>
      <c r="I340" s="8"/>
      <c r="J340" s="9">
        <v>1</v>
      </c>
      <c r="K340" s="9">
        <v>480</v>
      </c>
      <c r="L340" s="9">
        <v>2019</v>
      </c>
      <c r="M340" s="8" t="s">
        <v>2150</v>
      </c>
      <c r="N340" s="8" t="s">
        <v>306</v>
      </c>
      <c r="O340" s="8" t="s">
        <v>1085</v>
      </c>
      <c r="P340" s="6" t="s">
        <v>1083</v>
      </c>
      <c r="Q340" s="8" t="s">
        <v>200</v>
      </c>
      <c r="R340" s="10" t="s">
        <v>2138</v>
      </c>
      <c r="S340" s="11"/>
      <c r="T340" s="6"/>
      <c r="U340" s="24" t="str">
        <f>HYPERLINK("https://media.infra-m.ru/1020/1020838/cover/1020838.jpg", "Обложка")</f>
        <v>Обложка</v>
      </c>
      <c r="V340" s="12"/>
      <c r="W340" s="8" t="s">
        <v>358</v>
      </c>
      <c r="X340" s="6"/>
      <c r="Y340" s="6"/>
      <c r="Z340" s="6"/>
      <c r="AA340" s="6" t="s">
        <v>183</v>
      </c>
      <c r="AB340" s="8"/>
    </row>
    <row r="341" spans="1:28" s="4" customFormat="1" ht="42" customHeight="1">
      <c r="A341" s="5">
        <v>0</v>
      </c>
      <c r="B341" s="6" t="s">
        <v>2151</v>
      </c>
      <c r="C341" s="7">
        <v>2760</v>
      </c>
      <c r="D341" s="8" t="s">
        <v>2152</v>
      </c>
      <c r="E341" s="8" t="s">
        <v>2153</v>
      </c>
      <c r="F341" s="8" t="s">
        <v>2136</v>
      </c>
      <c r="G341" s="6" t="s">
        <v>96</v>
      </c>
      <c r="H341" s="6" t="s">
        <v>1083</v>
      </c>
      <c r="I341" s="8"/>
      <c r="J341" s="9">
        <v>1</v>
      </c>
      <c r="K341" s="9">
        <v>480</v>
      </c>
      <c r="L341" s="9">
        <v>2021</v>
      </c>
      <c r="M341" s="8" t="s">
        <v>2154</v>
      </c>
      <c r="N341" s="8" t="s">
        <v>306</v>
      </c>
      <c r="O341" s="8" t="s">
        <v>1085</v>
      </c>
      <c r="P341" s="6" t="s">
        <v>1083</v>
      </c>
      <c r="Q341" s="8" t="s">
        <v>426</v>
      </c>
      <c r="R341" s="10"/>
      <c r="S341" s="11"/>
      <c r="T341" s="6"/>
      <c r="U341" s="24" t="str">
        <f>HYPERLINK("https://media.infra-m.ru/1426/1426331/cover/1426331.jpg", "Обложка")</f>
        <v>Обложка</v>
      </c>
      <c r="V341" s="12"/>
      <c r="W341" s="8" t="s">
        <v>358</v>
      </c>
      <c r="X341" s="6"/>
      <c r="Y341" s="6"/>
      <c r="Z341" s="6"/>
      <c r="AA341" s="6" t="s">
        <v>183</v>
      </c>
      <c r="AB341" s="8"/>
    </row>
    <row r="342" spans="1:28" s="4" customFormat="1" ht="42" customHeight="1">
      <c r="A342" s="5">
        <v>0</v>
      </c>
      <c r="B342" s="6" t="s">
        <v>2155</v>
      </c>
      <c r="C342" s="7">
        <v>2760</v>
      </c>
      <c r="D342" s="8" t="s">
        <v>2156</v>
      </c>
      <c r="E342" s="8" t="s">
        <v>2157</v>
      </c>
      <c r="F342" s="8" t="s">
        <v>2136</v>
      </c>
      <c r="G342" s="6" t="s">
        <v>96</v>
      </c>
      <c r="H342" s="6" t="s">
        <v>1083</v>
      </c>
      <c r="I342" s="8"/>
      <c r="J342" s="9">
        <v>1</v>
      </c>
      <c r="K342" s="9">
        <v>480</v>
      </c>
      <c r="L342" s="9">
        <v>2019</v>
      </c>
      <c r="M342" s="8" t="s">
        <v>2158</v>
      </c>
      <c r="N342" s="8" t="s">
        <v>306</v>
      </c>
      <c r="O342" s="8" t="s">
        <v>1085</v>
      </c>
      <c r="P342" s="6" t="s">
        <v>1083</v>
      </c>
      <c r="Q342" s="8" t="s">
        <v>200</v>
      </c>
      <c r="R342" s="10" t="s">
        <v>2138</v>
      </c>
      <c r="S342" s="11"/>
      <c r="T342" s="6"/>
      <c r="U342" s="24" t="str">
        <f>HYPERLINK("https://media.infra-m.ru/1020/1020837/cover/1020837.jpg", "Обложка")</f>
        <v>Обложка</v>
      </c>
      <c r="V342" s="12"/>
      <c r="W342" s="8" t="s">
        <v>358</v>
      </c>
      <c r="X342" s="6"/>
      <c r="Y342" s="6"/>
      <c r="Z342" s="6"/>
      <c r="AA342" s="6" t="s">
        <v>273</v>
      </c>
      <c r="AB342" s="8"/>
    </row>
    <row r="343" spans="1:28" s="4" customFormat="1" ht="42" customHeight="1">
      <c r="A343" s="5">
        <v>0</v>
      </c>
      <c r="B343" s="6" t="s">
        <v>2159</v>
      </c>
      <c r="C343" s="7">
        <v>2760</v>
      </c>
      <c r="D343" s="8" t="s">
        <v>2160</v>
      </c>
      <c r="E343" s="8" t="s">
        <v>2161</v>
      </c>
      <c r="F343" s="8" t="s">
        <v>2136</v>
      </c>
      <c r="G343" s="6" t="s">
        <v>96</v>
      </c>
      <c r="H343" s="6" t="s">
        <v>1083</v>
      </c>
      <c r="I343" s="8"/>
      <c r="J343" s="9">
        <v>1</v>
      </c>
      <c r="K343" s="9">
        <v>480</v>
      </c>
      <c r="L343" s="9">
        <v>2021</v>
      </c>
      <c r="M343" s="8" t="s">
        <v>2162</v>
      </c>
      <c r="N343" s="8" t="s">
        <v>306</v>
      </c>
      <c r="O343" s="8" t="s">
        <v>1085</v>
      </c>
      <c r="P343" s="6" t="s">
        <v>1083</v>
      </c>
      <c r="Q343" s="8" t="s">
        <v>200</v>
      </c>
      <c r="R343" s="10" t="s">
        <v>2138</v>
      </c>
      <c r="S343" s="11"/>
      <c r="T343" s="6"/>
      <c r="U343" s="24" t="str">
        <f>HYPERLINK("https://media.infra-m.ru/1223/1223152/cover/1223152.jpg", "Обложка")</f>
        <v>Обложка</v>
      </c>
      <c r="V343" s="12"/>
      <c r="W343" s="8" t="s">
        <v>358</v>
      </c>
      <c r="X343" s="6"/>
      <c r="Y343" s="6"/>
      <c r="Z343" s="6"/>
      <c r="AA343" s="6" t="s">
        <v>273</v>
      </c>
      <c r="AB343" s="8"/>
    </row>
    <row r="344" spans="1:28" s="4" customFormat="1" ht="42" customHeight="1">
      <c r="A344" s="5">
        <v>0</v>
      </c>
      <c r="B344" s="6" t="s">
        <v>2163</v>
      </c>
      <c r="C344" s="7">
        <v>2760</v>
      </c>
      <c r="D344" s="8" t="s">
        <v>2164</v>
      </c>
      <c r="E344" s="8" t="s">
        <v>2165</v>
      </c>
      <c r="F344" s="8" t="s">
        <v>2136</v>
      </c>
      <c r="G344" s="6" t="s">
        <v>96</v>
      </c>
      <c r="H344" s="6" t="s">
        <v>1083</v>
      </c>
      <c r="I344" s="8"/>
      <c r="J344" s="9">
        <v>1</v>
      </c>
      <c r="K344" s="9">
        <v>496</v>
      </c>
      <c r="L344" s="9">
        <v>2021</v>
      </c>
      <c r="M344" s="8" t="s">
        <v>2166</v>
      </c>
      <c r="N344" s="8" t="s">
        <v>306</v>
      </c>
      <c r="O344" s="8" t="s">
        <v>1085</v>
      </c>
      <c r="P344" s="6" t="s">
        <v>1083</v>
      </c>
      <c r="Q344" s="8" t="s">
        <v>426</v>
      </c>
      <c r="R344" s="10" t="s">
        <v>2138</v>
      </c>
      <c r="S344" s="11"/>
      <c r="T344" s="6"/>
      <c r="U344" s="24" t="str">
        <f>HYPERLINK("https://media.infra-m.ru/1488/1488200/cover/1488200.jpg", "Обложка")</f>
        <v>Обложка</v>
      </c>
      <c r="V344" s="12"/>
      <c r="W344" s="8" t="s">
        <v>358</v>
      </c>
      <c r="X344" s="6"/>
      <c r="Y344" s="6"/>
      <c r="Z344" s="6"/>
      <c r="AA344" s="6" t="s">
        <v>273</v>
      </c>
      <c r="AB344" s="8"/>
    </row>
    <row r="345" spans="1:28" s="4" customFormat="1" ht="42" customHeight="1">
      <c r="A345" s="5">
        <v>0</v>
      </c>
      <c r="B345" s="6" t="s">
        <v>2167</v>
      </c>
      <c r="C345" s="7">
        <v>2760</v>
      </c>
      <c r="D345" s="8" t="s">
        <v>2168</v>
      </c>
      <c r="E345" s="8" t="s">
        <v>2169</v>
      </c>
      <c r="F345" s="8" t="s">
        <v>2136</v>
      </c>
      <c r="G345" s="6" t="s">
        <v>96</v>
      </c>
      <c r="H345" s="6" t="s">
        <v>1083</v>
      </c>
      <c r="I345" s="8"/>
      <c r="J345" s="9">
        <v>1</v>
      </c>
      <c r="K345" s="9">
        <v>496</v>
      </c>
      <c r="L345" s="9">
        <v>2019</v>
      </c>
      <c r="M345" s="8" t="s">
        <v>2170</v>
      </c>
      <c r="N345" s="8" t="s">
        <v>306</v>
      </c>
      <c r="O345" s="8" t="s">
        <v>1085</v>
      </c>
      <c r="P345" s="6" t="s">
        <v>1083</v>
      </c>
      <c r="Q345" s="8" t="s">
        <v>200</v>
      </c>
      <c r="R345" s="10" t="s">
        <v>2138</v>
      </c>
      <c r="S345" s="11"/>
      <c r="T345" s="6"/>
      <c r="U345" s="24" t="str">
        <f>HYPERLINK("https://media.infra-m.ru/1020/1020834/cover/1020834.jpg", "Обложка")</f>
        <v>Обложка</v>
      </c>
      <c r="V345" s="12"/>
      <c r="W345" s="8" t="s">
        <v>358</v>
      </c>
      <c r="X345" s="6"/>
      <c r="Y345" s="6"/>
      <c r="Z345" s="6"/>
      <c r="AA345" s="6" t="s">
        <v>273</v>
      </c>
      <c r="AB345" s="8"/>
    </row>
    <row r="346" spans="1:28" s="4" customFormat="1" ht="42" customHeight="1">
      <c r="A346" s="5">
        <v>0</v>
      </c>
      <c r="B346" s="6" t="s">
        <v>2171</v>
      </c>
      <c r="C346" s="7">
        <v>2760</v>
      </c>
      <c r="D346" s="8" t="s">
        <v>2172</v>
      </c>
      <c r="E346" s="8" t="s">
        <v>2173</v>
      </c>
      <c r="F346" s="8" t="s">
        <v>2136</v>
      </c>
      <c r="G346" s="6" t="s">
        <v>96</v>
      </c>
      <c r="H346" s="6" t="s">
        <v>1083</v>
      </c>
      <c r="I346" s="8"/>
      <c r="J346" s="9">
        <v>1</v>
      </c>
      <c r="K346" s="9">
        <v>495</v>
      </c>
      <c r="L346" s="9">
        <v>2019</v>
      </c>
      <c r="M346" s="8" t="s">
        <v>2174</v>
      </c>
      <c r="N346" s="8" t="s">
        <v>306</v>
      </c>
      <c r="O346" s="8" t="s">
        <v>1085</v>
      </c>
      <c r="P346" s="6" t="s">
        <v>1083</v>
      </c>
      <c r="Q346" s="8" t="s">
        <v>200</v>
      </c>
      <c r="R346" s="10" t="s">
        <v>2138</v>
      </c>
      <c r="S346" s="11"/>
      <c r="T346" s="6"/>
      <c r="U346" s="24" t="str">
        <f>HYPERLINK("https://media.infra-m.ru/1008/1008031/cover/1008031.jpg", "Обложка")</f>
        <v>Обложка</v>
      </c>
      <c r="V346" s="12"/>
      <c r="W346" s="8" t="s">
        <v>358</v>
      </c>
      <c r="X346" s="6"/>
      <c r="Y346" s="6"/>
      <c r="Z346" s="6"/>
      <c r="AA346" s="6" t="s">
        <v>227</v>
      </c>
      <c r="AB346" s="8"/>
    </row>
    <row r="347" spans="1:28" s="4" customFormat="1" ht="42" customHeight="1">
      <c r="A347" s="5">
        <v>0</v>
      </c>
      <c r="B347" s="6" t="s">
        <v>2175</v>
      </c>
      <c r="C347" s="7">
        <v>2880</v>
      </c>
      <c r="D347" s="8" t="s">
        <v>2176</v>
      </c>
      <c r="E347" s="8" t="s">
        <v>2177</v>
      </c>
      <c r="F347" s="8" t="s">
        <v>2136</v>
      </c>
      <c r="G347" s="6" t="s">
        <v>96</v>
      </c>
      <c r="H347" s="6" t="s">
        <v>1083</v>
      </c>
      <c r="I347" s="8"/>
      <c r="J347" s="9">
        <v>1</v>
      </c>
      <c r="K347" s="9">
        <v>496</v>
      </c>
      <c r="L347" s="9">
        <v>2021</v>
      </c>
      <c r="M347" s="8"/>
      <c r="N347" s="8" t="s">
        <v>306</v>
      </c>
      <c r="O347" s="8" t="s">
        <v>1085</v>
      </c>
      <c r="P347" s="6" t="s">
        <v>1083</v>
      </c>
      <c r="Q347" s="8" t="s">
        <v>1435</v>
      </c>
      <c r="R347" s="10" t="s">
        <v>2138</v>
      </c>
      <c r="S347" s="11"/>
      <c r="T347" s="6"/>
      <c r="U347" s="24" t="str">
        <f>HYPERLINK("https://media.infra-m.ru/1834/1834406/cover/1834406.jpg", "Обложка")</f>
        <v>Обложка</v>
      </c>
      <c r="V347" s="12"/>
      <c r="W347" s="8" t="s">
        <v>358</v>
      </c>
      <c r="X347" s="6"/>
      <c r="Y347" s="6"/>
      <c r="Z347" s="6"/>
      <c r="AA347" s="6" t="s">
        <v>227</v>
      </c>
      <c r="AB347" s="8"/>
    </row>
    <row r="348" spans="1:28" s="4" customFormat="1" ht="42" customHeight="1">
      <c r="A348" s="5">
        <v>0</v>
      </c>
      <c r="B348" s="6" t="s">
        <v>2178</v>
      </c>
      <c r="C348" s="7">
        <v>2880</v>
      </c>
      <c r="D348" s="8" t="s">
        <v>2179</v>
      </c>
      <c r="E348" s="8" t="s">
        <v>2180</v>
      </c>
      <c r="F348" s="8" t="s">
        <v>2136</v>
      </c>
      <c r="G348" s="6" t="s">
        <v>96</v>
      </c>
      <c r="H348" s="6" t="s">
        <v>1083</v>
      </c>
      <c r="I348" s="8"/>
      <c r="J348" s="9">
        <v>1</v>
      </c>
      <c r="K348" s="9">
        <v>496</v>
      </c>
      <c r="L348" s="9">
        <v>2021</v>
      </c>
      <c r="M348" s="8" t="s">
        <v>2181</v>
      </c>
      <c r="N348" s="8" t="s">
        <v>306</v>
      </c>
      <c r="O348" s="8" t="s">
        <v>1085</v>
      </c>
      <c r="P348" s="6" t="s">
        <v>1083</v>
      </c>
      <c r="Q348" s="8" t="s">
        <v>426</v>
      </c>
      <c r="R348" s="10"/>
      <c r="S348" s="11"/>
      <c r="T348" s="6"/>
      <c r="U348" s="24" t="str">
        <f>HYPERLINK("https://media.infra-m.ru/1856/1856783/cover/1856783.jpg", "Обложка")</f>
        <v>Обложка</v>
      </c>
      <c r="V348" s="12"/>
      <c r="W348" s="8" t="s">
        <v>358</v>
      </c>
      <c r="X348" s="6"/>
      <c r="Y348" s="6"/>
      <c r="Z348" s="6"/>
      <c r="AA348" s="6" t="s">
        <v>227</v>
      </c>
      <c r="AB348" s="8"/>
    </row>
    <row r="349" spans="1:28" s="4" customFormat="1" ht="42" customHeight="1">
      <c r="A349" s="5">
        <v>0</v>
      </c>
      <c r="B349" s="6" t="s">
        <v>2182</v>
      </c>
      <c r="C349" s="7">
        <v>2880</v>
      </c>
      <c r="D349" s="8" t="s">
        <v>2183</v>
      </c>
      <c r="E349" s="8" t="s">
        <v>2184</v>
      </c>
      <c r="F349" s="8" t="s">
        <v>2185</v>
      </c>
      <c r="G349" s="6" t="s">
        <v>96</v>
      </c>
      <c r="H349" s="6" t="s">
        <v>1083</v>
      </c>
      <c r="I349" s="8" t="s">
        <v>2186</v>
      </c>
      <c r="J349" s="9">
        <v>1</v>
      </c>
      <c r="K349" s="9">
        <v>496</v>
      </c>
      <c r="L349" s="9">
        <v>2021</v>
      </c>
      <c r="M349" s="8" t="s">
        <v>2187</v>
      </c>
      <c r="N349" s="8" t="s">
        <v>306</v>
      </c>
      <c r="O349" s="8" t="s">
        <v>1085</v>
      </c>
      <c r="P349" s="6" t="s">
        <v>1083</v>
      </c>
      <c r="Q349" s="8" t="s">
        <v>2188</v>
      </c>
      <c r="R349" s="10"/>
      <c r="S349" s="11"/>
      <c r="T349" s="6"/>
      <c r="U349" s="24" t="str">
        <f>HYPERLINK("https://media.infra-m.ru/1841/1841080/cover/1841080.jpg", "Обложка")</f>
        <v>Обложка</v>
      </c>
      <c r="V349" s="12"/>
      <c r="W349" s="8" t="s">
        <v>358</v>
      </c>
      <c r="X349" s="6"/>
      <c r="Y349" s="6"/>
      <c r="Z349" s="6"/>
      <c r="AA349" s="6" t="s">
        <v>227</v>
      </c>
      <c r="AB349" s="8"/>
    </row>
    <row r="350" spans="1:28" s="4" customFormat="1" ht="42" customHeight="1">
      <c r="A350" s="5">
        <v>0</v>
      </c>
      <c r="B350" s="6" t="s">
        <v>2189</v>
      </c>
      <c r="C350" s="7">
        <v>2760</v>
      </c>
      <c r="D350" s="8" t="s">
        <v>2190</v>
      </c>
      <c r="E350" s="8" t="s">
        <v>2191</v>
      </c>
      <c r="F350" s="8" t="s">
        <v>2136</v>
      </c>
      <c r="G350" s="6" t="s">
        <v>2192</v>
      </c>
      <c r="H350" s="6" t="s">
        <v>1083</v>
      </c>
      <c r="I350" s="8"/>
      <c r="J350" s="9">
        <v>5</v>
      </c>
      <c r="K350" s="9">
        <v>512</v>
      </c>
      <c r="L350" s="9">
        <v>2019</v>
      </c>
      <c r="M350" s="8" t="s">
        <v>2193</v>
      </c>
      <c r="N350" s="8" t="s">
        <v>306</v>
      </c>
      <c r="O350" s="8" t="s">
        <v>1085</v>
      </c>
      <c r="P350" s="6" t="s">
        <v>1083</v>
      </c>
      <c r="Q350" s="8" t="s">
        <v>2188</v>
      </c>
      <c r="R350" s="10"/>
      <c r="S350" s="11"/>
      <c r="T350" s="6"/>
      <c r="U350" s="24" t="str">
        <f>HYPERLINK("https://media.infra-m.ru/0782/0782857/cover/782857.jpg", "Обложка")</f>
        <v>Обложка</v>
      </c>
      <c r="V350" s="12"/>
      <c r="W350" s="8" t="s">
        <v>358</v>
      </c>
      <c r="X350" s="6"/>
      <c r="Y350" s="6"/>
      <c r="Z350" s="6"/>
      <c r="AA350" s="6" t="s">
        <v>213</v>
      </c>
      <c r="AB350" s="8"/>
    </row>
    <row r="351" spans="1:28" s="4" customFormat="1" ht="42" customHeight="1">
      <c r="A351" s="5">
        <v>0</v>
      </c>
      <c r="B351" s="6" t="s">
        <v>2194</v>
      </c>
      <c r="C351" s="7">
        <v>2760</v>
      </c>
      <c r="D351" s="8" t="s">
        <v>2195</v>
      </c>
      <c r="E351" s="8" t="s">
        <v>2196</v>
      </c>
      <c r="F351" s="8" t="s">
        <v>2185</v>
      </c>
      <c r="G351" s="6" t="s">
        <v>2197</v>
      </c>
      <c r="H351" s="6" t="s">
        <v>1083</v>
      </c>
      <c r="I351" s="8"/>
      <c r="J351" s="9">
        <v>5</v>
      </c>
      <c r="K351" s="9">
        <v>480</v>
      </c>
      <c r="L351" s="9">
        <v>2019</v>
      </c>
      <c r="M351" s="8" t="s">
        <v>2198</v>
      </c>
      <c r="N351" s="8" t="s">
        <v>306</v>
      </c>
      <c r="O351" s="8" t="s">
        <v>1085</v>
      </c>
      <c r="P351" s="6" t="s">
        <v>1083</v>
      </c>
      <c r="Q351" s="8" t="s">
        <v>426</v>
      </c>
      <c r="R351" s="10"/>
      <c r="S351" s="11"/>
      <c r="T351" s="6"/>
      <c r="U351" s="24" t="str">
        <f>HYPERLINK("https://media.infra-m.ru/0891/0891820/cover/891820.jpg", "Обложка")</f>
        <v>Обложка</v>
      </c>
      <c r="V351" s="12"/>
      <c r="W351" s="8" t="s">
        <v>358</v>
      </c>
      <c r="X351" s="6"/>
      <c r="Y351" s="6"/>
      <c r="Z351" s="6"/>
      <c r="AA351" s="6" t="s">
        <v>213</v>
      </c>
      <c r="AB351" s="8"/>
    </row>
    <row r="352" spans="1:28" s="4" customFormat="1" ht="42" customHeight="1">
      <c r="A352" s="5">
        <v>0</v>
      </c>
      <c r="B352" s="6" t="s">
        <v>2199</v>
      </c>
      <c r="C352" s="7">
        <v>2760</v>
      </c>
      <c r="D352" s="8" t="s">
        <v>2200</v>
      </c>
      <c r="E352" s="8" t="s">
        <v>2201</v>
      </c>
      <c r="F352" s="8" t="s">
        <v>2136</v>
      </c>
      <c r="G352" s="6" t="s">
        <v>2197</v>
      </c>
      <c r="H352" s="6" t="s">
        <v>1083</v>
      </c>
      <c r="I352" s="8"/>
      <c r="J352" s="9">
        <v>5</v>
      </c>
      <c r="K352" s="9">
        <v>480</v>
      </c>
      <c r="L352" s="9">
        <v>2019</v>
      </c>
      <c r="M352" s="8" t="s">
        <v>2202</v>
      </c>
      <c r="N352" s="8" t="s">
        <v>306</v>
      </c>
      <c r="O352" s="8" t="s">
        <v>1085</v>
      </c>
      <c r="P352" s="6" t="s">
        <v>1083</v>
      </c>
      <c r="Q352" s="8" t="s">
        <v>2188</v>
      </c>
      <c r="R352" s="10"/>
      <c r="S352" s="11"/>
      <c r="T352" s="6"/>
      <c r="U352" s="24" t="str">
        <f>HYPERLINK("https://media.infra-m.ru/0922/0922663/cover/922663.jpg", "Обложка")</f>
        <v>Обложка</v>
      </c>
      <c r="V352" s="12"/>
      <c r="W352" s="8" t="s">
        <v>358</v>
      </c>
      <c r="X352" s="6"/>
      <c r="Y352" s="6"/>
      <c r="Z352" s="6"/>
      <c r="AA352" s="6" t="s">
        <v>138</v>
      </c>
      <c r="AB352" s="8"/>
    </row>
    <row r="353" spans="1:28" s="4" customFormat="1" ht="42" customHeight="1">
      <c r="A353" s="5">
        <v>0</v>
      </c>
      <c r="B353" s="6" t="s">
        <v>2203</v>
      </c>
      <c r="C353" s="7">
        <v>2760</v>
      </c>
      <c r="D353" s="8" t="s">
        <v>2204</v>
      </c>
      <c r="E353" s="8" t="s">
        <v>2205</v>
      </c>
      <c r="F353" s="8" t="s">
        <v>2136</v>
      </c>
      <c r="G353" s="6" t="s">
        <v>2197</v>
      </c>
      <c r="H353" s="6" t="s">
        <v>1083</v>
      </c>
      <c r="I353" s="8"/>
      <c r="J353" s="9">
        <v>1</v>
      </c>
      <c r="K353" s="9">
        <v>448</v>
      </c>
      <c r="L353" s="9">
        <v>2020</v>
      </c>
      <c r="M353" s="8" t="s">
        <v>2206</v>
      </c>
      <c r="N353" s="8" t="s">
        <v>306</v>
      </c>
      <c r="O353" s="8" t="s">
        <v>1085</v>
      </c>
      <c r="P353" s="6" t="s">
        <v>1083</v>
      </c>
      <c r="Q353" s="8" t="s">
        <v>1435</v>
      </c>
      <c r="R353" s="10"/>
      <c r="S353" s="11"/>
      <c r="T353" s="6"/>
      <c r="U353" s="24" t="str">
        <f>HYPERLINK("https://media.infra-m.ru/0952/0952065/cover/952065.jpg", "Обложка")</f>
        <v>Обложка</v>
      </c>
      <c r="V353" s="12"/>
      <c r="W353" s="8" t="s">
        <v>358</v>
      </c>
      <c r="X353" s="6"/>
      <c r="Y353" s="6"/>
      <c r="Z353" s="6"/>
      <c r="AA353" s="6" t="s">
        <v>138</v>
      </c>
      <c r="AB353" s="8"/>
    </row>
    <row r="354" spans="1:28" s="4" customFormat="1" ht="51.95" customHeight="1">
      <c r="A354" s="5">
        <v>0</v>
      </c>
      <c r="B354" s="6" t="s">
        <v>2207</v>
      </c>
      <c r="C354" s="7">
        <v>2760</v>
      </c>
      <c r="D354" s="8" t="s">
        <v>2208</v>
      </c>
      <c r="E354" s="8" t="s">
        <v>2209</v>
      </c>
      <c r="F354" s="8" t="s">
        <v>2185</v>
      </c>
      <c r="G354" s="6" t="s">
        <v>96</v>
      </c>
      <c r="H354" s="6" t="s">
        <v>1083</v>
      </c>
      <c r="I354" s="8"/>
      <c r="J354" s="9">
        <v>5</v>
      </c>
      <c r="K354" s="9">
        <v>480</v>
      </c>
      <c r="L354" s="9">
        <v>2018</v>
      </c>
      <c r="M354" s="8" t="s">
        <v>2210</v>
      </c>
      <c r="N354" s="8" t="s">
        <v>306</v>
      </c>
      <c r="O354" s="8" t="s">
        <v>1085</v>
      </c>
      <c r="P354" s="6" t="s">
        <v>1083</v>
      </c>
      <c r="Q354" s="8" t="s">
        <v>1435</v>
      </c>
      <c r="R354" s="10" t="s">
        <v>2211</v>
      </c>
      <c r="S354" s="11"/>
      <c r="T354" s="6"/>
      <c r="U354" s="24" t="str">
        <f>HYPERLINK("https://media.infra-m.ru/0882/0882283/cover/882283.jpg", "Обложка")</f>
        <v>Обложка</v>
      </c>
      <c r="V354" s="12"/>
      <c r="W354" s="8" t="s">
        <v>358</v>
      </c>
      <c r="X354" s="6"/>
      <c r="Y354" s="6"/>
      <c r="Z354" s="6"/>
      <c r="AA354" s="6" t="s">
        <v>551</v>
      </c>
      <c r="AB354" s="8"/>
    </row>
    <row r="355" spans="1:28" s="4" customFormat="1" ht="51.95" customHeight="1">
      <c r="A355" s="5">
        <v>0</v>
      </c>
      <c r="B355" s="6" t="s">
        <v>2212</v>
      </c>
      <c r="C355" s="13">
        <v>348</v>
      </c>
      <c r="D355" s="8" t="s">
        <v>2213</v>
      </c>
      <c r="E355" s="8" t="s">
        <v>2214</v>
      </c>
      <c r="F355" s="8" t="s">
        <v>627</v>
      </c>
      <c r="G355" s="6" t="s">
        <v>628</v>
      </c>
      <c r="H355" s="6" t="s">
        <v>39</v>
      </c>
      <c r="I355" s="8"/>
      <c r="J355" s="9">
        <v>1</v>
      </c>
      <c r="K355" s="9">
        <v>16</v>
      </c>
      <c r="L355" s="9">
        <v>2024</v>
      </c>
      <c r="M355" s="8" t="s">
        <v>2215</v>
      </c>
      <c r="N355" s="8" t="s">
        <v>119</v>
      </c>
      <c r="O355" s="8" t="s">
        <v>120</v>
      </c>
      <c r="P355" s="6" t="s">
        <v>666</v>
      </c>
      <c r="Q355" s="8" t="s">
        <v>45</v>
      </c>
      <c r="R355" s="10" t="s">
        <v>2216</v>
      </c>
      <c r="S355" s="11"/>
      <c r="T355" s="6"/>
      <c r="U355" s="24" t="str">
        <f>HYPERLINK("https://media.infra-m.ru/2133/2133830/cover/2133830.jpg", "Обложка")</f>
        <v>Обложка</v>
      </c>
      <c r="V355" s="24" t="str">
        <f>HYPERLINK("https://znanium.ru/catalog/product/2133830", "Ознакомиться")</f>
        <v>Ознакомиться</v>
      </c>
      <c r="W355" s="8"/>
      <c r="X355" s="6"/>
      <c r="Y355" s="6"/>
      <c r="Z355" s="6"/>
      <c r="AA355" s="6" t="s">
        <v>48</v>
      </c>
      <c r="AB355" s="8"/>
    </row>
    <row r="356" spans="1:28" s="4" customFormat="1" ht="51.95" customHeight="1">
      <c r="A356" s="5">
        <v>0</v>
      </c>
      <c r="B356" s="6" t="s">
        <v>2217</v>
      </c>
      <c r="C356" s="13">
        <v>604.79999999999995</v>
      </c>
      <c r="D356" s="8" t="s">
        <v>2218</v>
      </c>
      <c r="E356" s="8" t="s">
        <v>2219</v>
      </c>
      <c r="F356" s="8" t="s">
        <v>627</v>
      </c>
      <c r="G356" s="6" t="s">
        <v>38</v>
      </c>
      <c r="H356" s="6" t="s">
        <v>39</v>
      </c>
      <c r="I356" s="8"/>
      <c r="J356" s="9">
        <v>1</v>
      </c>
      <c r="K356" s="9">
        <v>62</v>
      </c>
      <c r="L356" s="9">
        <v>2025</v>
      </c>
      <c r="M356" s="8" t="s">
        <v>2220</v>
      </c>
      <c r="N356" s="8" t="s">
        <v>119</v>
      </c>
      <c r="O356" s="8" t="s">
        <v>120</v>
      </c>
      <c r="P356" s="6" t="s">
        <v>1165</v>
      </c>
      <c r="Q356" s="8" t="s">
        <v>45</v>
      </c>
      <c r="R356" s="10" t="s">
        <v>2221</v>
      </c>
      <c r="S356" s="11"/>
      <c r="T356" s="6"/>
      <c r="U356" s="24" t="str">
        <f>HYPERLINK("https://media.infra-m.ru/2199/2199255/cover/2199255.jpg", "Обложка")</f>
        <v>Обложка</v>
      </c>
      <c r="V356" s="24" t="str">
        <f>HYPERLINK("https://znanium.ru/catalog/product/2232544", "Ознакомиться")</f>
        <v>Ознакомиться</v>
      </c>
      <c r="W356" s="8"/>
      <c r="X356" s="6"/>
      <c r="Y356" s="6"/>
      <c r="Z356" s="6"/>
      <c r="AA356" s="6" t="s">
        <v>918</v>
      </c>
      <c r="AB356" s="8"/>
    </row>
    <row r="357" spans="1:28" s="4" customFormat="1" ht="51.95" customHeight="1">
      <c r="A357" s="5">
        <v>0</v>
      </c>
      <c r="B357" s="6" t="s">
        <v>2222</v>
      </c>
      <c r="C357" s="13">
        <v>492</v>
      </c>
      <c r="D357" s="8" t="s">
        <v>2223</v>
      </c>
      <c r="E357" s="8" t="s">
        <v>2224</v>
      </c>
      <c r="F357" s="8" t="s">
        <v>627</v>
      </c>
      <c r="G357" s="6" t="s">
        <v>38</v>
      </c>
      <c r="H357" s="6" t="s">
        <v>39</v>
      </c>
      <c r="I357" s="8" t="s">
        <v>629</v>
      </c>
      <c r="J357" s="9">
        <v>1</v>
      </c>
      <c r="K357" s="9">
        <v>61</v>
      </c>
      <c r="L357" s="9">
        <v>2024</v>
      </c>
      <c r="M357" s="8" t="s">
        <v>2225</v>
      </c>
      <c r="N357" s="8" t="s">
        <v>119</v>
      </c>
      <c r="O357" s="8" t="s">
        <v>120</v>
      </c>
      <c r="P357" s="6" t="s">
        <v>1165</v>
      </c>
      <c r="Q357" s="8" t="s">
        <v>45</v>
      </c>
      <c r="R357" s="10" t="s">
        <v>2221</v>
      </c>
      <c r="S357" s="11"/>
      <c r="T357" s="6"/>
      <c r="U357" s="24" t="str">
        <f>HYPERLINK("https://media.infra-m.ru/2102/2102672/cover/2102672.jpg", "Обложка")</f>
        <v>Обложка</v>
      </c>
      <c r="V357" s="24" t="str">
        <f>HYPERLINK("https://znanium.ru/catalog/product/2232544", "Ознакомиться")</f>
        <v>Ознакомиться</v>
      </c>
      <c r="W357" s="8"/>
      <c r="X357" s="6"/>
      <c r="Y357" s="6"/>
      <c r="Z357" s="6"/>
      <c r="AA357" s="6" t="s">
        <v>83</v>
      </c>
      <c r="AB357" s="8"/>
    </row>
    <row r="358" spans="1:28" s="4" customFormat="1" ht="51.95" customHeight="1">
      <c r="A358" s="5">
        <v>0</v>
      </c>
      <c r="B358" s="6" t="s">
        <v>2226</v>
      </c>
      <c r="C358" s="13">
        <v>773.9</v>
      </c>
      <c r="D358" s="8" t="s">
        <v>2227</v>
      </c>
      <c r="E358" s="8" t="s">
        <v>2228</v>
      </c>
      <c r="F358" s="8" t="s">
        <v>627</v>
      </c>
      <c r="G358" s="6" t="s">
        <v>38</v>
      </c>
      <c r="H358" s="6" t="s">
        <v>39</v>
      </c>
      <c r="I358" s="8" t="s">
        <v>629</v>
      </c>
      <c r="J358" s="9">
        <v>1</v>
      </c>
      <c r="K358" s="9">
        <v>142</v>
      </c>
      <c r="L358" s="9">
        <v>2023</v>
      </c>
      <c r="M358" s="8" t="s">
        <v>2229</v>
      </c>
      <c r="N358" s="8" t="s">
        <v>119</v>
      </c>
      <c r="O358" s="8" t="s">
        <v>120</v>
      </c>
      <c r="P358" s="6" t="s">
        <v>631</v>
      </c>
      <c r="Q358" s="8" t="s">
        <v>45</v>
      </c>
      <c r="R358" s="10" t="s">
        <v>1550</v>
      </c>
      <c r="S358" s="11"/>
      <c r="T358" s="6"/>
      <c r="U358" s="24" t="str">
        <f>HYPERLINK("https://media.infra-m.ru/2117/2117568/cover/2117568.jpg", "Обложка")</f>
        <v>Обложка</v>
      </c>
      <c r="V358" s="24" t="str">
        <f>HYPERLINK("https://znanium.ru/catalog/product/1921393", "Ознакомиться")</f>
        <v>Ознакомиться</v>
      </c>
      <c r="W358" s="8"/>
      <c r="X358" s="6"/>
      <c r="Y358" s="6"/>
      <c r="Z358" s="6"/>
      <c r="AA358" s="6" t="s">
        <v>129</v>
      </c>
      <c r="AB358" s="8"/>
    </row>
    <row r="359" spans="1:28" s="4" customFormat="1" ht="42" customHeight="1">
      <c r="A359" s="5">
        <v>0</v>
      </c>
      <c r="B359" s="6" t="s">
        <v>2230</v>
      </c>
      <c r="C359" s="13">
        <v>600</v>
      </c>
      <c r="D359" s="8" t="s">
        <v>2231</v>
      </c>
      <c r="E359" s="8" t="s">
        <v>2232</v>
      </c>
      <c r="F359" s="8" t="s">
        <v>627</v>
      </c>
      <c r="G359" s="6" t="s">
        <v>38</v>
      </c>
      <c r="H359" s="6" t="s">
        <v>39</v>
      </c>
      <c r="I359" s="8" t="s">
        <v>629</v>
      </c>
      <c r="J359" s="9">
        <v>1</v>
      </c>
      <c r="K359" s="9">
        <v>124</v>
      </c>
      <c r="L359" s="9">
        <v>2024</v>
      </c>
      <c r="M359" s="8" t="s">
        <v>2233</v>
      </c>
      <c r="N359" s="8" t="s">
        <v>119</v>
      </c>
      <c r="O359" s="8" t="s">
        <v>120</v>
      </c>
      <c r="P359" s="6" t="s">
        <v>1371</v>
      </c>
      <c r="Q359" s="8" t="s">
        <v>45</v>
      </c>
      <c r="R359" s="10" t="s">
        <v>917</v>
      </c>
      <c r="S359" s="11"/>
      <c r="T359" s="6"/>
      <c r="U359" s="24" t="str">
        <f>HYPERLINK("https://media.infra-m.ru/2116/2116705/cover/2116705.jpg", "Обложка")</f>
        <v>Обложка</v>
      </c>
      <c r="V359" s="24" t="str">
        <f>HYPERLINK("https://znanium.ru/catalog/product/2200921", "Ознакомиться")</f>
        <v>Ознакомиться</v>
      </c>
      <c r="W359" s="8"/>
      <c r="X359" s="6"/>
      <c r="Y359" s="6"/>
      <c r="Z359" s="6"/>
      <c r="AA359" s="6" t="s">
        <v>918</v>
      </c>
      <c r="AB359" s="8"/>
    </row>
    <row r="360" spans="1:28" s="4" customFormat="1" ht="42" customHeight="1">
      <c r="A360" s="5">
        <v>0</v>
      </c>
      <c r="B360" s="6" t="s">
        <v>2234</v>
      </c>
      <c r="C360" s="13">
        <v>408</v>
      </c>
      <c r="D360" s="8" t="s">
        <v>2235</v>
      </c>
      <c r="E360" s="8" t="s">
        <v>2236</v>
      </c>
      <c r="F360" s="8" t="s">
        <v>627</v>
      </c>
      <c r="G360" s="6" t="s">
        <v>38</v>
      </c>
      <c r="H360" s="6" t="s">
        <v>39</v>
      </c>
      <c r="I360" s="8" t="s">
        <v>629</v>
      </c>
      <c r="J360" s="9">
        <v>1</v>
      </c>
      <c r="K360" s="9">
        <v>115</v>
      </c>
      <c r="L360" s="9">
        <v>2022</v>
      </c>
      <c r="M360" s="8" t="s">
        <v>2237</v>
      </c>
      <c r="N360" s="8" t="s">
        <v>119</v>
      </c>
      <c r="O360" s="8" t="s">
        <v>120</v>
      </c>
      <c r="P360" s="6" t="s">
        <v>1371</v>
      </c>
      <c r="Q360" s="8" t="s">
        <v>45</v>
      </c>
      <c r="R360" s="10" t="s">
        <v>917</v>
      </c>
      <c r="S360" s="11"/>
      <c r="T360" s="6"/>
      <c r="U360" s="24" t="str">
        <f>HYPERLINK("https://media.infra-m.ru/1898/1898210/cover/1898210.jpg", "Обложка")</f>
        <v>Обложка</v>
      </c>
      <c r="V360" s="24" t="str">
        <f>HYPERLINK("https://znanium.ru/catalog/product/2200921", "Ознакомиться")</f>
        <v>Ознакомиться</v>
      </c>
      <c r="W360" s="8"/>
      <c r="X360" s="6"/>
      <c r="Y360" s="6"/>
      <c r="Z360" s="6"/>
      <c r="AA360" s="6" t="s">
        <v>83</v>
      </c>
      <c r="AB360" s="8"/>
    </row>
    <row r="361" spans="1:28" s="4" customFormat="1" ht="42" customHeight="1">
      <c r="A361" s="5">
        <v>0</v>
      </c>
      <c r="B361" s="6" t="s">
        <v>2238</v>
      </c>
      <c r="C361" s="13">
        <v>792</v>
      </c>
      <c r="D361" s="8" t="s">
        <v>2239</v>
      </c>
      <c r="E361" s="8" t="s">
        <v>2240</v>
      </c>
      <c r="F361" s="8" t="s">
        <v>627</v>
      </c>
      <c r="G361" s="6" t="s">
        <v>38</v>
      </c>
      <c r="H361" s="6" t="s">
        <v>39</v>
      </c>
      <c r="I361" s="8" t="s">
        <v>629</v>
      </c>
      <c r="J361" s="9">
        <v>1</v>
      </c>
      <c r="K361" s="9">
        <v>130</v>
      </c>
      <c r="L361" s="9">
        <v>2025</v>
      </c>
      <c r="M361" s="8" t="s">
        <v>2241</v>
      </c>
      <c r="N361" s="8" t="s">
        <v>119</v>
      </c>
      <c r="O361" s="8" t="s">
        <v>120</v>
      </c>
      <c r="P361" s="6" t="s">
        <v>1371</v>
      </c>
      <c r="Q361" s="8" t="s">
        <v>45</v>
      </c>
      <c r="R361" s="10" t="s">
        <v>917</v>
      </c>
      <c r="S361" s="11"/>
      <c r="T361" s="6"/>
      <c r="U361" s="24" t="str">
        <f>HYPERLINK("https://media.infra-m.ru/2200/2200921/cover/2200921.jpg", "Обложка")</f>
        <v>Обложка</v>
      </c>
      <c r="V361" s="24" t="str">
        <f>HYPERLINK("https://znanium.ru/catalog/product/2200921", "Ознакомиться")</f>
        <v>Ознакомиться</v>
      </c>
      <c r="W361" s="8"/>
      <c r="X361" s="6" t="s">
        <v>1407</v>
      </c>
      <c r="Y361" s="6"/>
      <c r="Z361" s="6"/>
      <c r="AA361" s="6" t="s">
        <v>203</v>
      </c>
      <c r="AB361" s="8"/>
    </row>
    <row r="362" spans="1:28" s="4" customFormat="1" ht="42" customHeight="1">
      <c r="A362" s="5">
        <v>0</v>
      </c>
      <c r="B362" s="6" t="s">
        <v>2242</v>
      </c>
      <c r="C362" s="13">
        <v>360</v>
      </c>
      <c r="D362" s="8" t="s">
        <v>2243</v>
      </c>
      <c r="E362" s="8" t="s">
        <v>2244</v>
      </c>
      <c r="F362" s="8" t="s">
        <v>627</v>
      </c>
      <c r="G362" s="6" t="s">
        <v>628</v>
      </c>
      <c r="H362" s="6" t="s">
        <v>39</v>
      </c>
      <c r="I362" s="8"/>
      <c r="J362" s="9">
        <v>1</v>
      </c>
      <c r="K362" s="9">
        <v>60</v>
      </c>
      <c r="L362" s="9">
        <v>2022</v>
      </c>
      <c r="M362" s="8" t="s">
        <v>2245</v>
      </c>
      <c r="N362" s="8" t="s">
        <v>119</v>
      </c>
      <c r="O362" s="8" t="s">
        <v>120</v>
      </c>
      <c r="P362" s="6" t="s">
        <v>631</v>
      </c>
      <c r="Q362" s="8" t="s">
        <v>45</v>
      </c>
      <c r="R362" s="10" t="s">
        <v>2246</v>
      </c>
      <c r="S362" s="11"/>
      <c r="T362" s="6"/>
      <c r="U362" s="24" t="str">
        <f>HYPERLINK("https://media.infra-m.ru/1850/1850144/cover/1850144.jpg", "Обложка")</f>
        <v>Обложка</v>
      </c>
      <c r="V362" s="12"/>
      <c r="W362" s="8"/>
      <c r="X362" s="6"/>
      <c r="Y362" s="6"/>
      <c r="Z362" s="6"/>
      <c r="AA362" s="6" t="s">
        <v>391</v>
      </c>
      <c r="AB362" s="8"/>
    </row>
    <row r="363" spans="1:28" s="4" customFormat="1" ht="42" customHeight="1">
      <c r="A363" s="5">
        <v>0</v>
      </c>
      <c r="B363" s="6" t="s">
        <v>2247</v>
      </c>
      <c r="C363" s="13">
        <v>276</v>
      </c>
      <c r="D363" s="8" t="s">
        <v>2248</v>
      </c>
      <c r="E363" s="8" t="s">
        <v>2249</v>
      </c>
      <c r="F363" s="8" t="s">
        <v>627</v>
      </c>
      <c r="G363" s="6" t="s">
        <v>628</v>
      </c>
      <c r="H363" s="6" t="s">
        <v>39</v>
      </c>
      <c r="I363" s="8"/>
      <c r="J363" s="9">
        <v>1</v>
      </c>
      <c r="K363" s="9">
        <v>40</v>
      </c>
      <c r="L363" s="9">
        <v>2022</v>
      </c>
      <c r="M363" s="8" t="s">
        <v>2250</v>
      </c>
      <c r="N363" s="8" t="s">
        <v>119</v>
      </c>
      <c r="O363" s="8" t="s">
        <v>120</v>
      </c>
      <c r="P363" s="6" t="s">
        <v>631</v>
      </c>
      <c r="Q363" s="8" t="s">
        <v>45</v>
      </c>
      <c r="R363" s="10" t="s">
        <v>2246</v>
      </c>
      <c r="S363" s="11"/>
      <c r="T363" s="6"/>
      <c r="U363" s="24" t="str">
        <f>HYPERLINK("https://media.infra-m.ru/1850/1850145/cover/1850145.jpg", "Обложка")</f>
        <v>Обложка</v>
      </c>
      <c r="V363" s="12"/>
      <c r="W363" s="8"/>
      <c r="X363" s="6"/>
      <c r="Y363" s="6"/>
      <c r="Z363" s="6"/>
      <c r="AA363" s="6" t="s">
        <v>391</v>
      </c>
      <c r="AB363" s="8"/>
    </row>
    <row r="364" spans="1:28" s="4" customFormat="1" ht="51.95" customHeight="1">
      <c r="A364" s="5">
        <v>0</v>
      </c>
      <c r="B364" s="6" t="s">
        <v>2251</v>
      </c>
      <c r="C364" s="13">
        <v>156</v>
      </c>
      <c r="D364" s="8" t="s">
        <v>2252</v>
      </c>
      <c r="E364" s="8" t="s">
        <v>2253</v>
      </c>
      <c r="F364" s="8" t="s">
        <v>627</v>
      </c>
      <c r="G364" s="6" t="s">
        <v>628</v>
      </c>
      <c r="H364" s="6" t="s">
        <v>39</v>
      </c>
      <c r="I364" s="8"/>
      <c r="J364" s="9">
        <v>1</v>
      </c>
      <c r="K364" s="9">
        <v>16</v>
      </c>
      <c r="L364" s="9">
        <v>2021</v>
      </c>
      <c r="M364" s="8" t="s">
        <v>2254</v>
      </c>
      <c r="N364" s="8" t="s">
        <v>119</v>
      </c>
      <c r="O364" s="8" t="s">
        <v>120</v>
      </c>
      <c r="P364" s="6" t="s">
        <v>631</v>
      </c>
      <c r="Q364" s="8" t="s">
        <v>45</v>
      </c>
      <c r="R364" s="10" t="s">
        <v>2255</v>
      </c>
      <c r="S364" s="11"/>
      <c r="T364" s="6"/>
      <c r="U364" s="24" t="str">
        <f>HYPERLINK("https://media.infra-m.ru/1245/1245961/cover/1245961.jpg", "Обложка")</f>
        <v>Обложка</v>
      </c>
      <c r="V364" s="24" t="str">
        <f>HYPERLINK("https://znanium.ru/catalog/product/1245961", "Ознакомиться")</f>
        <v>Ознакомиться</v>
      </c>
      <c r="W364" s="8"/>
      <c r="X364" s="6"/>
      <c r="Y364" s="6"/>
      <c r="Z364" s="6"/>
      <c r="AA364" s="6" t="s">
        <v>129</v>
      </c>
      <c r="AB364" s="8"/>
    </row>
    <row r="365" spans="1:28" s="4" customFormat="1" ht="51.95" customHeight="1">
      <c r="A365" s="5">
        <v>0</v>
      </c>
      <c r="B365" s="6" t="s">
        <v>2256</v>
      </c>
      <c r="C365" s="13">
        <v>300</v>
      </c>
      <c r="D365" s="8" t="s">
        <v>2257</v>
      </c>
      <c r="E365" s="8" t="s">
        <v>2258</v>
      </c>
      <c r="F365" s="8" t="s">
        <v>627</v>
      </c>
      <c r="G365" s="6" t="s">
        <v>38</v>
      </c>
      <c r="H365" s="6" t="s">
        <v>39</v>
      </c>
      <c r="I365" s="8" t="s">
        <v>629</v>
      </c>
      <c r="J365" s="9">
        <v>1</v>
      </c>
      <c r="K365" s="9">
        <v>48</v>
      </c>
      <c r="L365" s="9">
        <v>2021</v>
      </c>
      <c r="M365" s="8" t="s">
        <v>2259</v>
      </c>
      <c r="N365" s="8" t="s">
        <v>119</v>
      </c>
      <c r="O365" s="8" t="s">
        <v>120</v>
      </c>
      <c r="P365" s="6" t="s">
        <v>631</v>
      </c>
      <c r="Q365" s="8" t="s">
        <v>45</v>
      </c>
      <c r="R365" s="10" t="s">
        <v>2260</v>
      </c>
      <c r="S365" s="11"/>
      <c r="T365" s="6"/>
      <c r="U365" s="24" t="str">
        <f>HYPERLINK("https://media.infra-m.ru/1817/1817300/cover/1817300.jpg", "Обложка")</f>
        <v>Обложка</v>
      </c>
      <c r="V365" s="24" t="str">
        <f>HYPERLINK("https://znanium.ru/catalog/product/1817300", "Ознакомиться")</f>
        <v>Ознакомиться</v>
      </c>
      <c r="W365" s="8"/>
      <c r="X365" s="6"/>
      <c r="Y365" s="6"/>
      <c r="Z365" s="6"/>
      <c r="AA365" s="6" t="s">
        <v>129</v>
      </c>
      <c r="AB365" s="8"/>
    </row>
    <row r="366" spans="1:28" s="4" customFormat="1" ht="51.95" customHeight="1">
      <c r="A366" s="5">
        <v>0</v>
      </c>
      <c r="B366" s="6" t="s">
        <v>2261</v>
      </c>
      <c r="C366" s="13">
        <v>950.3</v>
      </c>
      <c r="D366" s="8" t="s">
        <v>2262</v>
      </c>
      <c r="E366" s="8" t="s">
        <v>2263</v>
      </c>
      <c r="F366" s="8" t="s">
        <v>2264</v>
      </c>
      <c r="G366" s="6" t="s">
        <v>96</v>
      </c>
      <c r="H366" s="6" t="s">
        <v>167</v>
      </c>
      <c r="I366" s="8"/>
      <c r="J366" s="9">
        <v>1</v>
      </c>
      <c r="K366" s="9">
        <v>320</v>
      </c>
      <c r="L366" s="9">
        <v>2018</v>
      </c>
      <c r="M366" s="8" t="s">
        <v>2265</v>
      </c>
      <c r="N366" s="8" t="s">
        <v>119</v>
      </c>
      <c r="O366" s="8" t="s">
        <v>120</v>
      </c>
      <c r="P366" s="6" t="s">
        <v>666</v>
      </c>
      <c r="Q366" s="8" t="s">
        <v>45</v>
      </c>
      <c r="R366" s="10" t="s">
        <v>2266</v>
      </c>
      <c r="S366" s="11"/>
      <c r="T366" s="6"/>
      <c r="U366" s="24" t="str">
        <f>HYPERLINK("https://media.infra-m.ru/0966/0966502/cover/966502.jpg", "Обложка")</f>
        <v>Обложка</v>
      </c>
      <c r="V366" s="24" t="str">
        <f>HYPERLINK("https://znanium.ru/catalog/product/913880", "Ознакомиться")</f>
        <v>Ознакомиться</v>
      </c>
      <c r="W366" s="8" t="s">
        <v>2267</v>
      </c>
      <c r="X366" s="6"/>
      <c r="Y366" s="6"/>
      <c r="Z366" s="6"/>
      <c r="AA366" s="6" t="s">
        <v>273</v>
      </c>
      <c r="AB366" s="8"/>
    </row>
    <row r="367" spans="1:28" s="4" customFormat="1" ht="51.95" customHeight="1">
      <c r="A367" s="5">
        <v>0</v>
      </c>
      <c r="B367" s="6" t="s">
        <v>2268</v>
      </c>
      <c r="C367" s="13">
        <v>820.8</v>
      </c>
      <c r="D367" s="8" t="s">
        <v>2269</v>
      </c>
      <c r="E367" s="8" t="s">
        <v>2270</v>
      </c>
      <c r="F367" s="8" t="s">
        <v>2271</v>
      </c>
      <c r="G367" s="6" t="s">
        <v>38</v>
      </c>
      <c r="H367" s="6" t="s">
        <v>39</v>
      </c>
      <c r="I367" s="8" t="s">
        <v>40</v>
      </c>
      <c r="J367" s="9">
        <v>1</v>
      </c>
      <c r="K367" s="9">
        <v>100</v>
      </c>
      <c r="L367" s="9">
        <v>2023</v>
      </c>
      <c r="M367" s="8" t="s">
        <v>2272</v>
      </c>
      <c r="N367" s="8" t="s">
        <v>144</v>
      </c>
      <c r="O367" s="8" t="s">
        <v>145</v>
      </c>
      <c r="P367" s="6" t="s">
        <v>44</v>
      </c>
      <c r="Q367" s="8" t="s">
        <v>45</v>
      </c>
      <c r="R367" s="10" t="s">
        <v>695</v>
      </c>
      <c r="S367" s="11"/>
      <c r="T367" s="6"/>
      <c r="U367" s="24" t="str">
        <f>HYPERLINK("https://media.infra-m.ru/1976/1976165/cover/1976165.jpg", "Обложка")</f>
        <v>Обложка</v>
      </c>
      <c r="V367" s="24" t="str">
        <f>HYPERLINK("https://znanium.ru/catalog/product/1027265", "Ознакомиться")</f>
        <v>Ознакомиться</v>
      </c>
      <c r="W367" s="8" t="s">
        <v>2273</v>
      </c>
      <c r="X367" s="6"/>
      <c r="Y367" s="6"/>
      <c r="Z367" s="6"/>
      <c r="AA367" s="6" t="s">
        <v>1688</v>
      </c>
      <c r="AB367" s="8"/>
    </row>
    <row r="368" spans="1:28" s="4" customFormat="1" ht="42" customHeight="1">
      <c r="A368" s="5">
        <v>0</v>
      </c>
      <c r="B368" s="6" t="s">
        <v>2274</v>
      </c>
      <c r="C368" s="7">
        <v>1080</v>
      </c>
      <c r="D368" s="8" t="s">
        <v>2275</v>
      </c>
      <c r="E368" s="8" t="s">
        <v>2276</v>
      </c>
      <c r="F368" s="8" t="s">
        <v>2277</v>
      </c>
      <c r="G368" s="6" t="s">
        <v>38</v>
      </c>
      <c r="H368" s="6" t="s">
        <v>39</v>
      </c>
      <c r="I368" s="8" t="s">
        <v>40</v>
      </c>
      <c r="J368" s="9">
        <v>1</v>
      </c>
      <c r="K368" s="9">
        <v>188</v>
      </c>
      <c r="L368" s="9">
        <v>2024</v>
      </c>
      <c r="M368" s="8" t="s">
        <v>2278</v>
      </c>
      <c r="N368" s="8" t="s">
        <v>144</v>
      </c>
      <c r="O368" s="8" t="s">
        <v>145</v>
      </c>
      <c r="P368" s="6" t="s">
        <v>44</v>
      </c>
      <c r="Q368" s="8" t="s">
        <v>45</v>
      </c>
      <c r="R368" s="10" t="s">
        <v>2279</v>
      </c>
      <c r="S368" s="11"/>
      <c r="T368" s="6"/>
      <c r="U368" s="24" t="str">
        <f>HYPERLINK("https://media.infra-m.ru/2086/2086355/cover/2086355.jpg", "Обложка")</f>
        <v>Обложка</v>
      </c>
      <c r="V368" s="24" t="str">
        <f>HYPERLINK("https://znanium.ru/catalog/product/2086355", "Ознакомиться")</f>
        <v>Ознакомиться</v>
      </c>
      <c r="W368" s="8" t="s">
        <v>2280</v>
      </c>
      <c r="X368" s="6"/>
      <c r="Y368" s="6"/>
      <c r="Z368" s="6"/>
      <c r="AA368" s="6" t="s">
        <v>48</v>
      </c>
      <c r="AB368" s="8"/>
    </row>
    <row r="369" spans="1:28" s="4" customFormat="1" ht="42" customHeight="1">
      <c r="A369" s="5">
        <v>0</v>
      </c>
      <c r="B369" s="6" t="s">
        <v>2281</v>
      </c>
      <c r="C369" s="7">
        <v>1036.8</v>
      </c>
      <c r="D369" s="8" t="s">
        <v>2282</v>
      </c>
      <c r="E369" s="8" t="s">
        <v>2283</v>
      </c>
      <c r="F369" s="8" t="s">
        <v>2284</v>
      </c>
      <c r="G369" s="6" t="s">
        <v>38</v>
      </c>
      <c r="H369" s="6" t="s">
        <v>39</v>
      </c>
      <c r="I369" s="8" t="s">
        <v>40</v>
      </c>
      <c r="J369" s="9">
        <v>1</v>
      </c>
      <c r="K369" s="9">
        <v>166</v>
      </c>
      <c r="L369" s="9">
        <v>2025</v>
      </c>
      <c r="M369" s="8" t="s">
        <v>2285</v>
      </c>
      <c r="N369" s="8" t="s">
        <v>144</v>
      </c>
      <c r="O369" s="8" t="s">
        <v>145</v>
      </c>
      <c r="P369" s="6" t="s">
        <v>44</v>
      </c>
      <c r="Q369" s="8" t="s">
        <v>45</v>
      </c>
      <c r="R369" s="10" t="s">
        <v>1098</v>
      </c>
      <c r="S369" s="11"/>
      <c r="T369" s="6"/>
      <c r="U369" s="24" t="str">
        <f>HYPERLINK("https://media.infra-m.ru/2210/2210366/cover/2210366.jpg", "Обложка")</f>
        <v>Обложка</v>
      </c>
      <c r="V369" s="24" t="str">
        <f>HYPERLINK("https://znanium.ru/catalog/product/1012285", "Ознакомиться")</f>
        <v>Ознакомиться</v>
      </c>
      <c r="W369" s="8" t="s">
        <v>1612</v>
      </c>
      <c r="X369" s="6"/>
      <c r="Y369" s="6"/>
      <c r="Z369" s="6"/>
      <c r="AA369" s="6" t="s">
        <v>57</v>
      </c>
      <c r="AB369" s="8"/>
    </row>
    <row r="370" spans="1:28" s="4" customFormat="1" ht="42" customHeight="1">
      <c r="A370" s="5">
        <v>0</v>
      </c>
      <c r="B370" s="6" t="s">
        <v>2286</v>
      </c>
      <c r="C370" s="7">
        <v>2136</v>
      </c>
      <c r="D370" s="8" t="s">
        <v>2287</v>
      </c>
      <c r="E370" s="8" t="s">
        <v>2288</v>
      </c>
      <c r="F370" s="8" t="s">
        <v>749</v>
      </c>
      <c r="G370" s="6" t="s">
        <v>96</v>
      </c>
      <c r="H370" s="6" t="s">
        <v>39</v>
      </c>
      <c r="I370" s="8" t="s">
        <v>40</v>
      </c>
      <c r="J370" s="9">
        <v>1</v>
      </c>
      <c r="K370" s="9">
        <v>387</v>
      </c>
      <c r="L370" s="9">
        <v>2024</v>
      </c>
      <c r="M370" s="8" t="s">
        <v>2289</v>
      </c>
      <c r="N370" s="8" t="s">
        <v>144</v>
      </c>
      <c r="O370" s="8" t="s">
        <v>145</v>
      </c>
      <c r="P370" s="6" t="s">
        <v>44</v>
      </c>
      <c r="Q370" s="8" t="s">
        <v>45</v>
      </c>
      <c r="R370" s="10" t="s">
        <v>2290</v>
      </c>
      <c r="S370" s="11"/>
      <c r="T370" s="6"/>
      <c r="U370" s="24" t="str">
        <f>HYPERLINK("https://media.infra-m.ru/1946/1946228/cover/1946228.jpg", "Обложка")</f>
        <v>Обложка</v>
      </c>
      <c r="V370" s="24" t="str">
        <f>HYPERLINK("https://znanium.ru/catalog/product/1946228", "Ознакомиться")</f>
        <v>Ознакомиться</v>
      </c>
      <c r="W370" s="8" t="s">
        <v>493</v>
      </c>
      <c r="X370" s="6"/>
      <c r="Y370" s="6"/>
      <c r="Z370" s="6"/>
      <c r="AA370" s="6" t="s">
        <v>48</v>
      </c>
      <c r="AB370" s="8" t="s">
        <v>2291</v>
      </c>
    </row>
    <row r="371" spans="1:28" s="4" customFormat="1" ht="44.1" customHeight="1">
      <c r="A371" s="5">
        <v>0</v>
      </c>
      <c r="B371" s="6" t="s">
        <v>2292</v>
      </c>
      <c r="C371" s="7">
        <v>1980</v>
      </c>
      <c r="D371" s="8" t="s">
        <v>2293</v>
      </c>
      <c r="E371" s="8" t="s">
        <v>2294</v>
      </c>
      <c r="F371" s="8" t="s">
        <v>749</v>
      </c>
      <c r="G371" s="6" t="s">
        <v>62</v>
      </c>
      <c r="H371" s="6" t="s">
        <v>39</v>
      </c>
      <c r="I371" s="8" t="s">
        <v>40</v>
      </c>
      <c r="J371" s="9">
        <v>1</v>
      </c>
      <c r="K371" s="9">
        <v>330</v>
      </c>
      <c r="L371" s="9">
        <v>2025</v>
      </c>
      <c r="M371" s="8" t="s">
        <v>2295</v>
      </c>
      <c r="N371" s="8" t="s">
        <v>144</v>
      </c>
      <c r="O371" s="8" t="s">
        <v>145</v>
      </c>
      <c r="P371" s="6" t="s">
        <v>44</v>
      </c>
      <c r="Q371" s="8" t="s">
        <v>45</v>
      </c>
      <c r="R371" s="10" t="s">
        <v>2296</v>
      </c>
      <c r="S371" s="11"/>
      <c r="T371" s="6"/>
      <c r="U371" s="24" t="str">
        <f>HYPERLINK("https://media.infra-m.ru/2160/2160585/cover/2160585.jpg", "Обложка")</f>
        <v>Обложка</v>
      </c>
      <c r="V371" s="24" t="str">
        <f>HYPERLINK("https://znanium.ru/catalog/product/2160585", "Ознакомиться")</f>
        <v>Ознакомиться</v>
      </c>
      <c r="W371" s="8" t="s">
        <v>493</v>
      </c>
      <c r="X371" s="6"/>
      <c r="Y371" s="6"/>
      <c r="Z371" s="6"/>
      <c r="AA371" s="6" t="s">
        <v>48</v>
      </c>
      <c r="AB371" s="8"/>
    </row>
    <row r="372" spans="1:28" s="4" customFormat="1" ht="42" customHeight="1">
      <c r="A372" s="5">
        <v>0</v>
      </c>
      <c r="B372" s="6" t="s">
        <v>2297</v>
      </c>
      <c r="C372" s="7">
        <v>1632</v>
      </c>
      <c r="D372" s="8" t="s">
        <v>2298</v>
      </c>
      <c r="E372" s="8" t="s">
        <v>2299</v>
      </c>
      <c r="F372" s="8" t="s">
        <v>2300</v>
      </c>
      <c r="G372" s="6" t="s">
        <v>38</v>
      </c>
      <c r="H372" s="6" t="s">
        <v>39</v>
      </c>
      <c r="I372" s="8" t="s">
        <v>40</v>
      </c>
      <c r="J372" s="9">
        <v>1</v>
      </c>
      <c r="K372" s="9">
        <v>213</v>
      </c>
      <c r="L372" s="9">
        <v>2025</v>
      </c>
      <c r="M372" s="8" t="s">
        <v>2301</v>
      </c>
      <c r="N372" s="8" t="s">
        <v>144</v>
      </c>
      <c r="O372" s="8" t="s">
        <v>145</v>
      </c>
      <c r="P372" s="6" t="s">
        <v>44</v>
      </c>
      <c r="Q372" s="8" t="s">
        <v>45</v>
      </c>
      <c r="R372" s="10" t="s">
        <v>2302</v>
      </c>
      <c r="S372" s="11"/>
      <c r="T372" s="6"/>
      <c r="U372" s="24" t="str">
        <f>HYPERLINK("https://media.infra-m.ru/2213/2213008/cover/2213008.jpg", "Обложка")</f>
        <v>Обложка</v>
      </c>
      <c r="V372" s="24" t="str">
        <f>HYPERLINK("https://znanium.ru/catalog/product/2213008", "Ознакомиться")</f>
        <v>Ознакомиться</v>
      </c>
      <c r="W372" s="8" t="s">
        <v>1518</v>
      </c>
      <c r="X372" s="6" t="s">
        <v>350</v>
      </c>
      <c r="Y372" s="6"/>
      <c r="Z372" s="6"/>
      <c r="AA372" s="6" t="s">
        <v>360</v>
      </c>
      <c r="AB372" s="8"/>
    </row>
    <row r="373" spans="1:28" s="4" customFormat="1" ht="42" customHeight="1">
      <c r="A373" s="5">
        <v>0</v>
      </c>
      <c r="B373" s="6" t="s">
        <v>2303</v>
      </c>
      <c r="C373" s="7">
        <v>1464</v>
      </c>
      <c r="D373" s="8" t="s">
        <v>2304</v>
      </c>
      <c r="E373" s="8" t="s">
        <v>2305</v>
      </c>
      <c r="F373" s="8" t="s">
        <v>2306</v>
      </c>
      <c r="G373" s="6" t="s">
        <v>38</v>
      </c>
      <c r="H373" s="6" t="s">
        <v>39</v>
      </c>
      <c r="I373" s="8" t="s">
        <v>40</v>
      </c>
      <c r="J373" s="9">
        <v>1</v>
      </c>
      <c r="K373" s="9">
        <v>271</v>
      </c>
      <c r="L373" s="9">
        <v>2022</v>
      </c>
      <c r="M373" s="8" t="s">
        <v>2307</v>
      </c>
      <c r="N373" s="8" t="s">
        <v>42</v>
      </c>
      <c r="O373" s="8" t="s">
        <v>43</v>
      </c>
      <c r="P373" s="6" t="s">
        <v>44</v>
      </c>
      <c r="Q373" s="8" t="s">
        <v>45</v>
      </c>
      <c r="R373" s="10" t="s">
        <v>2308</v>
      </c>
      <c r="S373" s="11"/>
      <c r="T373" s="6"/>
      <c r="U373" s="24" t="str">
        <f>HYPERLINK("https://media.infra-m.ru/1863/1863251/cover/1863251.jpg", "Обложка")</f>
        <v>Обложка</v>
      </c>
      <c r="V373" s="24" t="str">
        <f>HYPERLINK("https://znanium.ru/catalog/product/1863251", "Ознакомиться")</f>
        <v>Ознакомиться</v>
      </c>
      <c r="W373" s="8" t="s">
        <v>1043</v>
      </c>
      <c r="X373" s="6"/>
      <c r="Y373" s="6"/>
      <c r="Z373" s="6"/>
      <c r="AA373" s="6" t="s">
        <v>83</v>
      </c>
      <c r="AB373" s="8"/>
    </row>
    <row r="374" spans="1:28" s="4" customFormat="1" ht="42" customHeight="1">
      <c r="A374" s="5">
        <v>0</v>
      </c>
      <c r="B374" s="6" t="s">
        <v>2309</v>
      </c>
      <c r="C374" s="7">
        <v>1104</v>
      </c>
      <c r="D374" s="8" t="s">
        <v>2310</v>
      </c>
      <c r="E374" s="8" t="s">
        <v>2311</v>
      </c>
      <c r="F374" s="8" t="s">
        <v>2312</v>
      </c>
      <c r="G374" s="6" t="s">
        <v>38</v>
      </c>
      <c r="H374" s="6" t="s">
        <v>39</v>
      </c>
      <c r="I374" s="8" t="s">
        <v>40</v>
      </c>
      <c r="J374" s="9">
        <v>1</v>
      </c>
      <c r="K374" s="9">
        <v>195</v>
      </c>
      <c r="L374" s="9">
        <v>2024</v>
      </c>
      <c r="M374" s="8" t="s">
        <v>2313</v>
      </c>
      <c r="N374" s="8" t="s">
        <v>144</v>
      </c>
      <c r="O374" s="8" t="s">
        <v>145</v>
      </c>
      <c r="P374" s="6" t="s">
        <v>44</v>
      </c>
      <c r="Q374" s="8" t="s">
        <v>45</v>
      </c>
      <c r="R374" s="10" t="s">
        <v>233</v>
      </c>
      <c r="S374" s="11"/>
      <c r="T374" s="6"/>
      <c r="U374" s="24" t="str">
        <f>HYPERLINK("https://media.infra-m.ru/1989/1989269/cover/1989269.jpg", "Обложка")</f>
        <v>Обложка</v>
      </c>
      <c r="V374" s="24" t="str">
        <f>HYPERLINK("https://znanium.ru/catalog/product/1989269", "Ознакомиться")</f>
        <v>Ознакомиться</v>
      </c>
      <c r="W374" s="8" t="s">
        <v>2314</v>
      </c>
      <c r="X374" s="6"/>
      <c r="Y374" s="6"/>
      <c r="Z374" s="6"/>
      <c r="AA374" s="6" t="s">
        <v>48</v>
      </c>
      <c r="AB374" s="8"/>
    </row>
    <row r="375" spans="1:28" s="4" customFormat="1" ht="44.1" customHeight="1">
      <c r="A375" s="5">
        <v>0</v>
      </c>
      <c r="B375" s="6" t="s">
        <v>2315</v>
      </c>
      <c r="C375" s="7">
        <v>1080</v>
      </c>
      <c r="D375" s="8" t="s">
        <v>2316</v>
      </c>
      <c r="E375" s="8" t="s">
        <v>2317</v>
      </c>
      <c r="F375" s="8" t="s">
        <v>2318</v>
      </c>
      <c r="G375" s="6" t="s">
        <v>38</v>
      </c>
      <c r="H375" s="6" t="s">
        <v>39</v>
      </c>
      <c r="I375" s="8" t="s">
        <v>40</v>
      </c>
      <c r="J375" s="9">
        <v>1</v>
      </c>
      <c r="K375" s="9">
        <v>187</v>
      </c>
      <c r="L375" s="9">
        <v>2024</v>
      </c>
      <c r="M375" s="8" t="s">
        <v>2319</v>
      </c>
      <c r="N375" s="8" t="s">
        <v>144</v>
      </c>
      <c r="O375" s="8" t="s">
        <v>145</v>
      </c>
      <c r="P375" s="6" t="s">
        <v>44</v>
      </c>
      <c r="Q375" s="8" t="s">
        <v>45</v>
      </c>
      <c r="R375" s="10" t="s">
        <v>2320</v>
      </c>
      <c r="S375" s="11"/>
      <c r="T375" s="6"/>
      <c r="U375" s="24" t="str">
        <f>HYPERLINK("https://media.infra-m.ru/1989/1989263/cover/1989263.jpg", "Обложка")</f>
        <v>Обложка</v>
      </c>
      <c r="V375" s="24" t="str">
        <f>HYPERLINK("https://znanium.ru/catalog/product/1989263", "Ознакомиться")</f>
        <v>Ознакомиться</v>
      </c>
      <c r="W375" s="8" t="s">
        <v>2321</v>
      </c>
      <c r="X375" s="6"/>
      <c r="Y375" s="6"/>
      <c r="Z375" s="6"/>
      <c r="AA375" s="6" t="s">
        <v>48</v>
      </c>
      <c r="AB375" s="8"/>
    </row>
    <row r="376" spans="1:28" s="4" customFormat="1" ht="42" customHeight="1">
      <c r="A376" s="5">
        <v>0</v>
      </c>
      <c r="B376" s="6" t="s">
        <v>2322</v>
      </c>
      <c r="C376" s="7">
        <v>1188</v>
      </c>
      <c r="D376" s="8" t="s">
        <v>2323</v>
      </c>
      <c r="E376" s="8" t="s">
        <v>2324</v>
      </c>
      <c r="F376" s="8" t="s">
        <v>2325</v>
      </c>
      <c r="G376" s="6" t="s">
        <v>38</v>
      </c>
      <c r="H376" s="6" t="s">
        <v>39</v>
      </c>
      <c r="I376" s="8" t="s">
        <v>40</v>
      </c>
      <c r="J376" s="9">
        <v>1</v>
      </c>
      <c r="K376" s="9">
        <v>181</v>
      </c>
      <c r="L376" s="9">
        <v>2025</v>
      </c>
      <c r="M376" s="8" t="s">
        <v>2326</v>
      </c>
      <c r="N376" s="8" t="s">
        <v>144</v>
      </c>
      <c r="O376" s="8" t="s">
        <v>145</v>
      </c>
      <c r="P376" s="6" t="s">
        <v>44</v>
      </c>
      <c r="Q376" s="8" t="s">
        <v>45</v>
      </c>
      <c r="R376" s="10" t="s">
        <v>2327</v>
      </c>
      <c r="S376" s="11"/>
      <c r="T376" s="6"/>
      <c r="U376" s="24" t="str">
        <f>HYPERLINK("https://media.infra-m.ru/2186/2186795/cover/2186795.jpg", "Обложка")</f>
        <v>Обложка</v>
      </c>
      <c r="V376" s="24" t="str">
        <f>HYPERLINK("https://znanium.ru/catalog/product/2186795", "Ознакомиться")</f>
        <v>Ознакомиться</v>
      </c>
      <c r="W376" s="8" t="s">
        <v>241</v>
      </c>
      <c r="X376" s="6" t="s">
        <v>359</v>
      </c>
      <c r="Y376" s="6"/>
      <c r="Z376" s="6"/>
      <c r="AA376" s="6" t="s">
        <v>360</v>
      </c>
      <c r="AB376" s="8"/>
    </row>
    <row r="377" spans="1:28" s="4" customFormat="1" ht="51.95" customHeight="1">
      <c r="A377" s="5">
        <v>0</v>
      </c>
      <c r="B377" s="6" t="s">
        <v>2328</v>
      </c>
      <c r="C377" s="7">
        <v>1072.8</v>
      </c>
      <c r="D377" s="8" t="s">
        <v>2329</v>
      </c>
      <c r="E377" s="8" t="s">
        <v>2330</v>
      </c>
      <c r="F377" s="8" t="s">
        <v>2331</v>
      </c>
      <c r="G377" s="6" t="s">
        <v>38</v>
      </c>
      <c r="H377" s="6" t="s">
        <v>39</v>
      </c>
      <c r="I377" s="8" t="s">
        <v>40</v>
      </c>
      <c r="J377" s="9">
        <v>1</v>
      </c>
      <c r="K377" s="9">
        <v>160</v>
      </c>
      <c r="L377" s="9">
        <v>2025</v>
      </c>
      <c r="M377" s="8" t="s">
        <v>2332</v>
      </c>
      <c r="N377" s="8" t="s">
        <v>144</v>
      </c>
      <c r="O377" s="8" t="s">
        <v>145</v>
      </c>
      <c r="P377" s="6" t="s">
        <v>44</v>
      </c>
      <c r="Q377" s="8" t="s">
        <v>45</v>
      </c>
      <c r="R377" s="10" t="s">
        <v>2333</v>
      </c>
      <c r="S377" s="11"/>
      <c r="T377" s="6"/>
      <c r="U377" s="24" t="str">
        <f>HYPERLINK("https://media.infra-m.ru/2219/2219732/cover/2219732.jpg", "Обложка")</f>
        <v>Обложка</v>
      </c>
      <c r="V377" s="24" t="str">
        <f>HYPERLINK("https://znanium.ru/catalog/product/2143217", "Ознакомиться")</f>
        <v>Ознакомиться</v>
      </c>
      <c r="W377" s="8" t="s">
        <v>651</v>
      </c>
      <c r="X377" s="6"/>
      <c r="Y377" s="6"/>
      <c r="Z377" s="6"/>
      <c r="AA377" s="6" t="s">
        <v>91</v>
      </c>
      <c r="AB377" s="8"/>
    </row>
    <row r="378" spans="1:28" s="4" customFormat="1" ht="42" customHeight="1">
      <c r="A378" s="5">
        <v>0</v>
      </c>
      <c r="B378" s="6" t="s">
        <v>2334</v>
      </c>
      <c r="C378" s="13">
        <v>360</v>
      </c>
      <c r="D378" s="8" t="s">
        <v>2335</v>
      </c>
      <c r="E378" s="8" t="s">
        <v>2336</v>
      </c>
      <c r="F378" s="8" t="s">
        <v>2337</v>
      </c>
      <c r="G378" s="6" t="s">
        <v>38</v>
      </c>
      <c r="H378" s="6" t="s">
        <v>39</v>
      </c>
      <c r="I378" s="8"/>
      <c r="J378" s="9">
        <v>1</v>
      </c>
      <c r="K378" s="9">
        <v>154</v>
      </c>
      <c r="L378" s="9">
        <v>2020</v>
      </c>
      <c r="M378" s="8" t="s">
        <v>2338</v>
      </c>
      <c r="N378" s="8" t="s">
        <v>423</v>
      </c>
      <c r="O378" s="8" t="s">
        <v>450</v>
      </c>
      <c r="P378" s="6" t="s">
        <v>2339</v>
      </c>
      <c r="Q378" s="8" t="s">
        <v>200</v>
      </c>
      <c r="R378" s="10" t="s">
        <v>2340</v>
      </c>
      <c r="S378" s="11"/>
      <c r="T378" s="6"/>
      <c r="U378" s="24" t="str">
        <f>HYPERLINK("https://media.infra-m.ru/1036/1036427/cover/1036427.jpg", "Обложка")</f>
        <v>Обложка</v>
      </c>
      <c r="V378" s="24" t="str">
        <f>HYPERLINK("https://znanium.ru/catalog/product/1852247", "Ознакомиться")</f>
        <v>Ознакомиться</v>
      </c>
      <c r="W378" s="8" t="s">
        <v>358</v>
      </c>
      <c r="X378" s="6"/>
      <c r="Y378" s="6"/>
      <c r="Z378" s="6"/>
      <c r="AA378" s="6" t="s">
        <v>227</v>
      </c>
      <c r="AB378" s="8"/>
    </row>
    <row r="379" spans="1:28" s="4" customFormat="1" ht="42" customHeight="1">
      <c r="A379" s="5">
        <v>0</v>
      </c>
      <c r="B379" s="6" t="s">
        <v>2341</v>
      </c>
      <c r="C379" s="7">
        <v>1792.8</v>
      </c>
      <c r="D379" s="8" t="s">
        <v>2342</v>
      </c>
      <c r="E379" s="8" t="s">
        <v>2343</v>
      </c>
      <c r="F379" s="8" t="s">
        <v>2344</v>
      </c>
      <c r="G379" s="6" t="s">
        <v>62</v>
      </c>
      <c r="H379" s="6" t="s">
        <v>39</v>
      </c>
      <c r="I379" s="8" t="s">
        <v>1255</v>
      </c>
      <c r="J379" s="9">
        <v>1</v>
      </c>
      <c r="K379" s="9">
        <v>299</v>
      </c>
      <c r="L379" s="9">
        <v>2025</v>
      </c>
      <c r="M379" s="8" t="s">
        <v>2345</v>
      </c>
      <c r="N379" s="8" t="s">
        <v>423</v>
      </c>
      <c r="O379" s="8" t="s">
        <v>450</v>
      </c>
      <c r="P379" s="6" t="s">
        <v>199</v>
      </c>
      <c r="Q379" s="8" t="s">
        <v>200</v>
      </c>
      <c r="R379" s="10" t="s">
        <v>2346</v>
      </c>
      <c r="S379" s="11"/>
      <c r="T379" s="6"/>
      <c r="U379" s="24" t="str">
        <f>HYPERLINK("https://media.infra-m.ru/2178/2178852/cover/2178852.jpg", "Обложка")</f>
        <v>Обложка</v>
      </c>
      <c r="V379" s="24" t="str">
        <f>HYPERLINK("https://znanium.ru/catalog/product/1709433", "Ознакомиться")</f>
        <v>Ознакомиться</v>
      </c>
      <c r="W379" s="8" t="s">
        <v>2347</v>
      </c>
      <c r="X379" s="6"/>
      <c r="Y379" s="6"/>
      <c r="Z379" s="6"/>
      <c r="AA379" s="6" t="s">
        <v>2348</v>
      </c>
      <c r="AB379" s="8"/>
    </row>
    <row r="380" spans="1:28" s="4" customFormat="1" ht="51.95" customHeight="1">
      <c r="A380" s="5">
        <v>0</v>
      </c>
      <c r="B380" s="6" t="s">
        <v>2349</v>
      </c>
      <c r="C380" s="7">
        <v>1188</v>
      </c>
      <c r="D380" s="8" t="s">
        <v>2350</v>
      </c>
      <c r="E380" s="8" t="s">
        <v>2351</v>
      </c>
      <c r="F380" s="8" t="s">
        <v>627</v>
      </c>
      <c r="G380" s="6" t="s">
        <v>96</v>
      </c>
      <c r="H380" s="6" t="s">
        <v>39</v>
      </c>
      <c r="I380" s="8" t="s">
        <v>629</v>
      </c>
      <c r="J380" s="9">
        <v>1</v>
      </c>
      <c r="K380" s="9">
        <v>717</v>
      </c>
      <c r="L380" s="9">
        <v>2024</v>
      </c>
      <c r="M380" s="8" t="s">
        <v>2352</v>
      </c>
      <c r="N380" s="8" t="s">
        <v>119</v>
      </c>
      <c r="O380" s="8" t="s">
        <v>915</v>
      </c>
      <c r="P380" s="6" t="s">
        <v>666</v>
      </c>
      <c r="Q380" s="8" t="s">
        <v>45</v>
      </c>
      <c r="R380" s="10" t="s">
        <v>2353</v>
      </c>
      <c r="S380" s="11"/>
      <c r="T380" s="6"/>
      <c r="U380" s="24" t="str">
        <f>HYPERLINK("https://media.infra-m.ru/2135/2135042/cover/2135042.jpg", "Обложка")</f>
        <v>Обложка</v>
      </c>
      <c r="V380" s="24" t="str">
        <f>HYPERLINK("https://znanium.ru/catalog/product/2227444", "Ознакомиться")</f>
        <v>Ознакомиться</v>
      </c>
      <c r="W380" s="8"/>
      <c r="X380" s="6"/>
      <c r="Y380" s="6"/>
      <c r="Z380" s="6"/>
      <c r="AA380" s="6" t="s">
        <v>2354</v>
      </c>
      <c r="AB380" s="8"/>
    </row>
    <row r="381" spans="1:28" s="4" customFormat="1" ht="51.95" customHeight="1">
      <c r="A381" s="5">
        <v>0</v>
      </c>
      <c r="B381" s="6" t="s">
        <v>2355</v>
      </c>
      <c r="C381" s="7">
        <v>1440</v>
      </c>
      <c r="D381" s="8" t="s">
        <v>2356</v>
      </c>
      <c r="E381" s="8" t="s">
        <v>2357</v>
      </c>
      <c r="F381" s="8" t="s">
        <v>627</v>
      </c>
      <c r="G381" s="6" t="s">
        <v>96</v>
      </c>
      <c r="H381" s="6" t="s">
        <v>39</v>
      </c>
      <c r="I381" s="8" t="s">
        <v>629</v>
      </c>
      <c r="J381" s="9">
        <v>1</v>
      </c>
      <c r="K381" s="9">
        <v>724</v>
      </c>
      <c r="L381" s="9">
        <v>2025</v>
      </c>
      <c r="M381" s="8" t="s">
        <v>2358</v>
      </c>
      <c r="N381" s="8" t="s">
        <v>119</v>
      </c>
      <c r="O381" s="8" t="s">
        <v>915</v>
      </c>
      <c r="P381" s="6" t="s">
        <v>666</v>
      </c>
      <c r="Q381" s="8" t="s">
        <v>45</v>
      </c>
      <c r="R381" s="10" t="s">
        <v>2353</v>
      </c>
      <c r="S381" s="11"/>
      <c r="T381" s="6"/>
      <c r="U381" s="24" t="str">
        <f>HYPERLINK("https://media.infra-m.ru/2186/2186439/cover/2186439.jpg", "Обложка")</f>
        <v>Обложка</v>
      </c>
      <c r="V381" s="24" t="str">
        <f>HYPERLINK("https://znanium.ru/catalog/product/2227444", "Ознакомиться")</f>
        <v>Ознакомиться</v>
      </c>
      <c r="W381" s="8"/>
      <c r="X381" s="6"/>
      <c r="Y381" s="6"/>
      <c r="Z381" s="6"/>
      <c r="AA381" s="6" t="s">
        <v>2359</v>
      </c>
      <c r="AB381" s="8"/>
    </row>
    <row r="382" spans="1:28" s="4" customFormat="1" ht="51.95" customHeight="1">
      <c r="A382" s="5">
        <v>0</v>
      </c>
      <c r="B382" s="6" t="s">
        <v>2360</v>
      </c>
      <c r="C382" s="7">
        <v>1620</v>
      </c>
      <c r="D382" s="8" t="s">
        <v>2361</v>
      </c>
      <c r="E382" s="8" t="s">
        <v>2362</v>
      </c>
      <c r="F382" s="8" t="s">
        <v>627</v>
      </c>
      <c r="G382" s="6" t="s">
        <v>96</v>
      </c>
      <c r="H382" s="6" t="s">
        <v>39</v>
      </c>
      <c r="I382" s="8" t="s">
        <v>629</v>
      </c>
      <c r="J382" s="9">
        <v>1</v>
      </c>
      <c r="K382" s="9">
        <v>726</v>
      </c>
      <c r="L382" s="9">
        <v>2026</v>
      </c>
      <c r="M382" s="8" t="s">
        <v>2363</v>
      </c>
      <c r="N382" s="8" t="s">
        <v>119</v>
      </c>
      <c r="O382" s="8" t="s">
        <v>915</v>
      </c>
      <c r="P382" s="6" t="s">
        <v>666</v>
      </c>
      <c r="Q382" s="8" t="s">
        <v>45</v>
      </c>
      <c r="R382" s="10" t="s">
        <v>2353</v>
      </c>
      <c r="S382" s="11"/>
      <c r="T382" s="6"/>
      <c r="U382" s="24" t="str">
        <f>HYPERLINK("https://media.infra-m.ru/2227/2227444/cover/2227444.jpg", "Обложка")</f>
        <v>Обложка</v>
      </c>
      <c r="V382" s="24" t="str">
        <f>HYPERLINK("https://znanium.ru/catalog/product/2227444", "Ознакомиться")</f>
        <v>Ознакомиться</v>
      </c>
      <c r="W382" s="8"/>
      <c r="X382" s="6" t="s">
        <v>436</v>
      </c>
      <c r="Y382" s="6"/>
      <c r="Z382" s="6"/>
      <c r="AA382" s="6" t="s">
        <v>2364</v>
      </c>
      <c r="AB382" s="8"/>
    </row>
    <row r="383" spans="1:28" s="4" customFormat="1" ht="51.95" customHeight="1">
      <c r="A383" s="5">
        <v>0</v>
      </c>
      <c r="B383" s="6" t="s">
        <v>2365</v>
      </c>
      <c r="C383" s="13">
        <v>635.9</v>
      </c>
      <c r="D383" s="8" t="s">
        <v>2366</v>
      </c>
      <c r="E383" s="8" t="s">
        <v>2367</v>
      </c>
      <c r="F383" s="8" t="s">
        <v>627</v>
      </c>
      <c r="G383" s="6" t="s">
        <v>62</v>
      </c>
      <c r="H383" s="6" t="s">
        <v>39</v>
      </c>
      <c r="I383" s="8" t="s">
        <v>629</v>
      </c>
      <c r="J383" s="9">
        <v>1</v>
      </c>
      <c r="K383" s="9">
        <v>717</v>
      </c>
      <c r="L383" s="9">
        <v>2021</v>
      </c>
      <c r="M383" s="8" t="s">
        <v>2368</v>
      </c>
      <c r="N383" s="8" t="s">
        <v>119</v>
      </c>
      <c r="O383" s="8" t="s">
        <v>915</v>
      </c>
      <c r="P383" s="6" t="s">
        <v>666</v>
      </c>
      <c r="Q383" s="8" t="s">
        <v>45</v>
      </c>
      <c r="R383" s="10" t="s">
        <v>2353</v>
      </c>
      <c r="S383" s="11"/>
      <c r="T383" s="6"/>
      <c r="U383" s="24" t="str">
        <f>HYPERLINK("https://media.infra-m.ru/1231/1231215/cover/1231215.jpg", "Обложка")</f>
        <v>Обложка</v>
      </c>
      <c r="V383" s="24" t="str">
        <f>HYPERLINK("https://znanium.ru/catalog/product/2227444", "Ознакомиться")</f>
        <v>Ознакомиться</v>
      </c>
      <c r="W383" s="8"/>
      <c r="X383" s="6"/>
      <c r="Y383" s="6"/>
      <c r="Z383" s="6"/>
      <c r="AA383" s="6" t="s">
        <v>1392</v>
      </c>
      <c r="AB383" s="8"/>
    </row>
    <row r="384" spans="1:28" s="4" customFormat="1" ht="51.95" customHeight="1">
      <c r="A384" s="5">
        <v>0</v>
      </c>
      <c r="B384" s="6" t="s">
        <v>2369</v>
      </c>
      <c r="C384" s="13">
        <v>383.9</v>
      </c>
      <c r="D384" s="8" t="s">
        <v>2370</v>
      </c>
      <c r="E384" s="8" t="s">
        <v>2371</v>
      </c>
      <c r="F384" s="8" t="s">
        <v>627</v>
      </c>
      <c r="G384" s="6" t="s">
        <v>96</v>
      </c>
      <c r="H384" s="6" t="s">
        <v>39</v>
      </c>
      <c r="I384" s="8"/>
      <c r="J384" s="9">
        <v>10</v>
      </c>
      <c r="K384" s="9">
        <v>696</v>
      </c>
      <c r="L384" s="9">
        <v>2017</v>
      </c>
      <c r="M384" s="8" t="s">
        <v>2372</v>
      </c>
      <c r="N384" s="8" t="s">
        <v>119</v>
      </c>
      <c r="O384" s="8" t="s">
        <v>915</v>
      </c>
      <c r="P384" s="6" t="s">
        <v>714</v>
      </c>
      <c r="Q384" s="8" t="s">
        <v>180</v>
      </c>
      <c r="R384" s="10" t="s">
        <v>2353</v>
      </c>
      <c r="S384" s="11"/>
      <c r="T384" s="6"/>
      <c r="U384" s="24" t="str">
        <f>HYPERLINK("https://media.infra-m.ru/0882/0882928/cover/882928.jpg", "Обложка")</f>
        <v>Обложка</v>
      </c>
      <c r="V384" s="24" t="str">
        <f>HYPERLINK("https://znanium.ru/catalog/product/2227444", "Ознакомиться")</f>
        <v>Ознакомиться</v>
      </c>
      <c r="W384" s="8"/>
      <c r="X384" s="6"/>
      <c r="Y384" s="6"/>
      <c r="Z384" s="6"/>
      <c r="AA384" s="6" t="s">
        <v>213</v>
      </c>
      <c r="AB384" s="8"/>
    </row>
    <row r="385" spans="1:28" s="4" customFormat="1" ht="51.95" customHeight="1">
      <c r="A385" s="5">
        <v>0</v>
      </c>
      <c r="B385" s="6" t="s">
        <v>2373</v>
      </c>
      <c r="C385" s="7">
        <v>1296</v>
      </c>
      <c r="D385" s="8" t="s">
        <v>2374</v>
      </c>
      <c r="E385" s="8" t="s">
        <v>2375</v>
      </c>
      <c r="F385" s="8" t="s">
        <v>2376</v>
      </c>
      <c r="G385" s="6" t="s">
        <v>38</v>
      </c>
      <c r="H385" s="6" t="s">
        <v>39</v>
      </c>
      <c r="I385" s="8" t="s">
        <v>40</v>
      </c>
      <c r="J385" s="9">
        <v>1</v>
      </c>
      <c r="K385" s="9">
        <v>216</v>
      </c>
      <c r="L385" s="9">
        <v>2025</v>
      </c>
      <c r="M385" s="8" t="s">
        <v>2377</v>
      </c>
      <c r="N385" s="8" t="s">
        <v>144</v>
      </c>
      <c r="O385" s="8" t="s">
        <v>145</v>
      </c>
      <c r="P385" s="6" t="s">
        <v>44</v>
      </c>
      <c r="Q385" s="8" t="s">
        <v>784</v>
      </c>
      <c r="R385" s="10" t="s">
        <v>2378</v>
      </c>
      <c r="S385" s="11"/>
      <c r="T385" s="6"/>
      <c r="U385" s="24" t="str">
        <f>HYPERLINK("https://media.infra-m.ru/2161/2161368/cover/2161368.jpg", "Обложка")</f>
        <v>Обложка</v>
      </c>
      <c r="V385" s="24" t="str">
        <f>HYPERLINK("https://znanium.ru/catalog/product/2161368", "Ознакомиться")</f>
        <v>Ознакомиться</v>
      </c>
      <c r="W385" s="8" t="s">
        <v>768</v>
      </c>
      <c r="X385" s="6"/>
      <c r="Y385" s="6"/>
      <c r="Z385" s="6"/>
      <c r="AA385" s="6" t="s">
        <v>300</v>
      </c>
      <c r="AB385" s="8"/>
    </row>
    <row r="386" spans="1:28" s="4" customFormat="1" ht="42" customHeight="1">
      <c r="A386" s="5">
        <v>0</v>
      </c>
      <c r="B386" s="6" t="s">
        <v>2379</v>
      </c>
      <c r="C386" s="7">
        <v>1668</v>
      </c>
      <c r="D386" s="8" t="s">
        <v>2380</v>
      </c>
      <c r="E386" s="8" t="s">
        <v>2381</v>
      </c>
      <c r="F386" s="8" t="s">
        <v>627</v>
      </c>
      <c r="G386" s="6" t="s">
        <v>96</v>
      </c>
      <c r="H386" s="6" t="s">
        <v>39</v>
      </c>
      <c r="I386" s="8"/>
      <c r="J386" s="9">
        <v>1</v>
      </c>
      <c r="K386" s="9">
        <v>386</v>
      </c>
      <c r="L386" s="9">
        <v>2026</v>
      </c>
      <c r="M386" s="8" t="s">
        <v>2382</v>
      </c>
      <c r="N386" s="8" t="s">
        <v>119</v>
      </c>
      <c r="O386" s="8" t="s">
        <v>432</v>
      </c>
      <c r="P386" s="6" t="s">
        <v>179</v>
      </c>
      <c r="Q386" s="8" t="s">
        <v>45</v>
      </c>
      <c r="R386" s="10" t="s">
        <v>2383</v>
      </c>
      <c r="S386" s="11"/>
      <c r="T386" s="6"/>
      <c r="U386" s="24" t="str">
        <f>HYPERLINK("https://media.infra-m.ru/2218/2218704/cover/2218704.jpg", "Обложка")</f>
        <v>Обложка</v>
      </c>
      <c r="V386" s="24" t="str">
        <f>HYPERLINK("https://znanium.ru/catalog/product/2218704", "Ознакомиться")</f>
        <v>Ознакомиться</v>
      </c>
      <c r="W386" s="8"/>
      <c r="X386" s="6" t="s">
        <v>350</v>
      </c>
      <c r="Y386" s="6"/>
      <c r="Z386" s="6"/>
      <c r="AA386" s="6" t="s">
        <v>345</v>
      </c>
      <c r="AB386" s="8"/>
    </row>
    <row r="387" spans="1:28" s="4" customFormat="1" ht="42" customHeight="1">
      <c r="A387" s="5">
        <v>0</v>
      </c>
      <c r="B387" s="6" t="s">
        <v>2384</v>
      </c>
      <c r="C387" s="7">
        <v>1344</v>
      </c>
      <c r="D387" s="8" t="s">
        <v>2385</v>
      </c>
      <c r="E387" s="8" t="s">
        <v>2386</v>
      </c>
      <c r="F387" s="8" t="s">
        <v>2387</v>
      </c>
      <c r="G387" s="6" t="s">
        <v>38</v>
      </c>
      <c r="H387" s="6" t="s">
        <v>39</v>
      </c>
      <c r="I387" s="8" t="s">
        <v>40</v>
      </c>
      <c r="J387" s="9">
        <v>1</v>
      </c>
      <c r="K387" s="9">
        <v>218</v>
      </c>
      <c r="L387" s="9">
        <v>2025</v>
      </c>
      <c r="M387" s="8" t="s">
        <v>2388</v>
      </c>
      <c r="N387" s="8" t="s">
        <v>144</v>
      </c>
      <c r="O387" s="8" t="s">
        <v>145</v>
      </c>
      <c r="P387" s="6" t="s">
        <v>44</v>
      </c>
      <c r="Q387" s="8" t="s">
        <v>45</v>
      </c>
      <c r="R387" s="10" t="s">
        <v>233</v>
      </c>
      <c r="S387" s="11"/>
      <c r="T387" s="6"/>
      <c r="U387" s="24" t="str">
        <f>HYPERLINK("https://media.infra-m.ru/2147/2147283/cover/2147283.jpg", "Обложка")</f>
        <v>Обложка</v>
      </c>
      <c r="V387" s="24" t="str">
        <f>HYPERLINK("https://znanium.ru/catalog/product/2147283", "Ознакомиться")</f>
        <v>Ознакомиться</v>
      </c>
      <c r="W387" s="8" t="s">
        <v>2389</v>
      </c>
      <c r="X387" s="6"/>
      <c r="Y387" s="6"/>
      <c r="Z387" s="6"/>
      <c r="AA387" s="6" t="s">
        <v>360</v>
      </c>
      <c r="AB387" s="8"/>
    </row>
    <row r="388" spans="1:28" s="4" customFormat="1" ht="42" customHeight="1">
      <c r="A388" s="5">
        <v>0</v>
      </c>
      <c r="B388" s="6" t="s">
        <v>2390</v>
      </c>
      <c r="C388" s="7">
        <v>1464</v>
      </c>
      <c r="D388" s="8" t="s">
        <v>2391</v>
      </c>
      <c r="E388" s="8" t="s">
        <v>2392</v>
      </c>
      <c r="F388" s="8" t="s">
        <v>2393</v>
      </c>
      <c r="G388" s="6" t="s">
        <v>38</v>
      </c>
      <c r="H388" s="6" t="s">
        <v>39</v>
      </c>
      <c r="I388" s="8" t="s">
        <v>40</v>
      </c>
      <c r="J388" s="9">
        <v>1</v>
      </c>
      <c r="K388" s="9">
        <v>313</v>
      </c>
      <c r="L388" s="9">
        <v>2022</v>
      </c>
      <c r="M388" s="8" t="s">
        <v>2394</v>
      </c>
      <c r="N388" s="8" t="s">
        <v>42</v>
      </c>
      <c r="O388" s="8" t="s">
        <v>908</v>
      </c>
      <c r="P388" s="6" t="s">
        <v>44</v>
      </c>
      <c r="Q388" s="8" t="s">
        <v>45</v>
      </c>
      <c r="R388" s="10" t="s">
        <v>2395</v>
      </c>
      <c r="S388" s="11"/>
      <c r="T388" s="6"/>
      <c r="U388" s="24" t="str">
        <f>HYPERLINK("https://media.infra-m.ru/1850/1850624/cover/1850624.jpg", "Обложка")</f>
        <v>Обложка</v>
      </c>
      <c r="V388" s="24" t="str">
        <f>HYPERLINK("https://znanium.ru/catalog/product/1850624", "Ознакомиться")</f>
        <v>Ознакомиться</v>
      </c>
      <c r="W388" s="8" t="s">
        <v>358</v>
      </c>
      <c r="X388" s="6"/>
      <c r="Y388" s="6"/>
      <c r="Z388" s="6"/>
      <c r="AA388" s="6" t="s">
        <v>273</v>
      </c>
      <c r="AB388" s="8"/>
    </row>
    <row r="389" spans="1:28" s="4" customFormat="1" ht="42" customHeight="1">
      <c r="A389" s="5">
        <v>0</v>
      </c>
      <c r="B389" s="6" t="s">
        <v>2396</v>
      </c>
      <c r="C389" s="13">
        <v>780</v>
      </c>
      <c r="D389" s="8" t="s">
        <v>2397</v>
      </c>
      <c r="E389" s="8" t="s">
        <v>2398</v>
      </c>
      <c r="F389" s="8" t="s">
        <v>2399</v>
      </c>
      <c r="G389" s="6" t="s">
        <v>38</v>
      </c>
      <c r="H389" s="6" t="s">
        <v>39</v>
      </c>
      <c r="I389" s="8" t="s">
        <v>40</v>
      </c>
      <c r="J389" s="9">
        <v>1</v>
      </c>
      <c r="K389" s="9">
        <v>129</v>
      </c>
      <c r="L389" s="9">
        <v>2025</v>
      </c>
      <c r="M389" s="8" t="s">
        <v>2400</v>
      </c>
      <c r="N389" s="8" t="s">
        <v>42</v>
      </c>
      <c r="O389" s="8" t="s">
        <v>43</v>
      </c>
      <c r="P389" s="6" t="s">
        <v>44</v>
      </c>
      <c r="Q389" s="8" t="s">
        <v>45</v>
      </c>
      <c r="R389" s="10" t="s">
        <v>55</v>
      </c>
      <c r="S389" s="11"/>
      <c r="T389" s="6"/>
      <c r="U389" s="24" t="str">
        <f>HYPERLINK("https://media.infra-m.ru/1870/1870761/cover/1870761.jpg", "Обложка")</f>
        <v>Обложка</v>
      </c>
      <c r="V389" s="24" t="str">
        <f>HYPERLINK("https://znanium.ru/catalog/product/1870761", "Ознакомиться")</f>
        <v>Ознакомиться</v>
      </c>
      <c r="W389" s="8" t="s">
        <v>2401</v>
      </c>
      <c r="X389" s="6"/>
      <c r="Y389" s="6"/>
      <c r="Z389" s="6"/>
      <c r="AA389" s="6" t="s">
        <v>138</v>
      </c>
      <c r="AB389" s="8"/>
    </row>
    <row r="390" spans="1:28" s="4" customFormat="1" ht="42" customHeight="1">
      <c r="A390" s="5">
        <v>0</v>
      </c>
      <c r="B390" s="6" t="s">
        <v>2402</v>
      </c>
      <c r="C390" s="7">
        <v>1552.8</v>
      </c>
      <c r="D390" s="8" t="s">
        <v>2403</v>
      </c>
      <c r="E390" s="8" t="s">
        <v>2404</v>
      </c>
      <c r="F390" s="8" t="s">
        <v>2405</v>
      </c>
      <c r="G390" s="6" t="s">
        <v>38</v>
      </c>
      <c r="H390" s="6" t="s">
        <v>39</v>
      </c>
      <c r="I390" s="8" t="s">
        <v>40</v>
      </c>
      <c r="J390" s="9">
        <v>1</v>
      </c>
      <c r="K390" s="9">
        <v>274</v>
      </c>
      <c r="L390" s="9">
        <v>2024</v>
      </c>
      <c r="M390" s="8" t="s">
        <v>2406</v>
      </c>
      <c r="N390" s="8" t="s">
        <v>42</v>
      </c>
      <c r="O390" s="8" t="s">
        <v>43</v>
      </c>
      <c r="P390" s="6" t="s">
        <v>44</v>
      </c>
      <c r="Q390" s="8" t="s">
        <v>45</v>
      </c>
      <c r="R390" s="10" t="s">
        <v>2407</v>
      </c>
      <c r="S390" s="11"/>
      <c r="T390" s="6"/>
      <c r="U390" s="24" t="str">
        <f>HYPERLINK("https://media.infra-m.ru/2156/2156223/cover/2156223.jpg", "Обложка")</f>
        <v>Обложка</v>
      </c>
      <c r="V390" s="24" t="str">
        <f>HYPERLINK("https://znanium.ru/catalog/product/1869553", "Ознакомиться")</f>
        <v>Ознакомиться</v>
      </c>
      <c r="W390" s="8" t="s">
        <v>2408</v>
      </c>
      <c r="X390" s="6"/>
      <c r="Y390" s="6"/>
      <c r="Z390" s="6"/>
      <c r="AA390" s="6" t="s">
        <v>83</v>
      </c>
      <c r="AB390" s="8" t="s">
        <v>2409</v>
      </c>
    </row>
    <row r="391" spans="1:28" s="4" customFormat="1" ht="42" customHeight="1">
      <c r="A391" s="5">
        <v>0</v>
      </c>
      <c r="B391" s="6" t="s">
        <v>2410</v>
      </c>
      <c r="C391" s="13">
        <v>912</v>
      </c>
      <c r="D391" s="8" t="s">
        <v>2411</v>
      </c>
      <c r="E391" s="8" t="s">
        <v>2412</v>
      </c>
      <c r="F391" s="8" t="s">
        <v>2413</v>
      </c>
      <c r="G391" s="6" t="s">
        <v>38</v>
      </c>
      <c r="H391" s="6" t="s">
        <v>39</v>
      </c>
      <c r="I391" s="8" t="s">
        <v>40</v>
      </c>
      <c r="J391" s="9">
        <v>1</v>
      </c>
      <c r="K391" s="9">
        <v>141</v>
      </c>
      <c r="L391" s="9">
        <v>2024</v>
      </c>
      <c r="M391" s="8" t="s">
        <v>2414</v>
      </c>
      <c r="N391" s="8" t="s">
        <v>42</v>
      </c>
      <c r="O391" s="8" t="s">
        <v>72</v>
      </c>
      <c r="P391" s="6" t="s">
        <v>44</v>
      </c>
      <c r="Q391" s="8" t="s">
        <v>45</v>
      </c>
      <c r="R391" s="10" t="s">
        <v>581</v>
      </c>
      <c r="S391" s="11"/>
      <c r="T391" s="6"/>
      <c r="U391" s="24" t="str">
        <f>HYPERLINK("https://media.infra-m.ru/2116/2116160/cover/2116160.jpg", "Обложка")</f>
        <v>Обложка</v>
      </c>
      <c r="V391" s="24" t="str">
        <f>HYPERLINK("https://znanium.ru/catalog/product/2116160", "Ознакомиться")</f>
        <v>Ознакомиться</v>
      </c>
      <c r="W391" s="8" t="s">
        <v>2408</v>
      </c>
      <c r="X391" s="6"/>
      <c r="Y391" s="6"/>
      <c r="Z391" s="6"/>
      <c r="AA391" s="6" t="s">
        <v>48</v>
      </c>
      <c r="AB391" s="8"/>
    </row>
    <row r="392" spans="1:28" s="4" customFormat="1" ht="51.95" customHeight="1">
      <c r="A392" s="5">
        <v>0</v>
      </c>
      <c r="B392" s="6" t="s">
        <v>2415</v>
      </c>
      <c r="C392" s="7">
        <v>2454</v>
      </c>
      <c r="D392" s="8" t="s">
        <v>2416</v>
      </c>
      <c r="E392" s="8" t="s">
        <v>2417</v>
      </c>
      <c r="F392" s="8" t="s">
        <v>2418</v>
      </c>
      <c r="G392" s="6" t="s">
        <v>96</v>
      </c>
      <c r="H392" s="6" t="s">
        <v>39</v>
      </c>
      <c r="I392" s="8"/>
      <c r="J392" s="9">
        <v>1</v>
      </c>
      <c r="K392" s="9">
        <v>630</v>
      </c>
      <c r="L392" s="9">
        <v>2024</v>
      </c>
      <c r="M392" s="8" t="s">
        <v>2419</v>
      </c>
      <c r="N392" s="8" t="s">
        <v>119</v>
      </c>
      <c r="O392" s="8" t="s">
        <v>120</v>
      </c>
      <c r="P392" s="6" t="s">
        <v>248</v>
      </c>
      <c r="Q392" s="8" t="s">
        <v>45</v>
      </c>
      <c r="R392" s="10" t="s">
        <v>2420</v>
      </c>
      <c r="S392" s="11"/>
      <c r="T392" s="6"/>
      <c r="U392" s="24" t="str">
        <f>HYPERLINK("https://media.infra-m.ru/2095/2095602/cover/2095602.jpg", "Обложка")</f>
        <v>Обложка</v>
      </c>
      <c r="V392" s="12"/>
      <c r="W392" s="8" t="s">
        <v>1036</v>
      </c>
      <c r="X392" s="6"/>
      <c r="Y392" s="6"/>
      <c r="Z392" s="6"/>
      <c r="AA392" s="6" t="s">
        <v>129</v>
      </c>
      <c r="AB392" s="8"/>
    </row>
    <row r="393" spans="1:28" s="4" customFormat="1" ht="51.95" customHeight="1">
      <c r="A393" s="5">
        <v>0</v>
      </c>
      <c r="B393" s="6" t="s">
        <v>2421</v>
      </c>
      <c r="C393" s="7">
        <v>2220</v>
      </c>
      <c r="D393" s="8" t="s">
        <v>2422</v>
      </c>
      <c r="E393" s="8" t="s">
        <v>2423</v>
      </c>
      <c r="F393" s="8" t="s">
        <v>2418</v>
      </c>
      <c r="G393" s="6" t="s">
        <v>62</v>
      </c>
      <c r="H393" s="6" t="s">
        <v>39</v>
      </c>
      <c r="I393" s="8"/>
      <c r="J393" s="9">
        <v>1</v>
      </c>
      <c r="K393" s="9">
        <v>412</v>
      </c>
      <c r="L393" s="9">
        <v>2023</v>
      </c>
      <c r="M393" s="8" t="s">
        <v>2424</v>
      </c>
      <c r="N393" s="8" t="s">
        <v>119</v>
      </c>
      <c r="O393" s="8" t="s">
        <v>120</v>
      </c>
      <c r="P393" s="6" t="s">
        <v>248</v>
      </c>
      <c r="Q393" s="8" t="s">
        <v>45</v>
      </c>
      <c r="R393" s="10" t="s">
        <v>2425</v>
      </c>
      <c r="S393" s="11"/>
      <c r="T393" s="6"/>
      <c r="U393" s="24" t="str">
        <f>HYPERLINK("https://media.infra-m.ru/1915/1915815/cover/1915815.jpg", "Обложка")</f>
        <v>Обложка</v>
      </c>
      <c r="V393" s="12"/>
      <c r="W393" s="8" t="s">
        <v>1036</v>
      </c>
      <c r="X393" s="6"/>
      <c r="Y393" s="6"/>
      <c r="Z393" s="6"/>
      <c r="AA393" s="6" t="s">
        <v>83</v>
      </c>
      <c r="AB393" s="8"/>
    </row>
    <row r="394" spans="1:28" s="4" customFormat="1" ht="33" customHeight="1">
      <c r="A394" s="5">
        <v>0</v>
      </c>
      <c r="B394" s="6" t="s">
        <v>2426</v>
      </c>
      <c r="C394" s="7">
        <v>1382.3</v>
      </c>
      <c r="D394" s="8" t="s">
        <v>2427</v>
      </c>
      <c r="E394" s="8" t="s">
        <v>2428</v>
      </c>
      <c r="F394" s="8" t="s">
        <v>2429</v>
      </c>
      <c r="G394" s="6" t="s">
        <v>96</v>
      </c>
      <c r="H394" s="6" t="s">
        <v>167</v>
      </c>
      <c r="I394" s="8"/>
      <c r="J394" s="14">
        <v>0</v>
      </c>
      <c r="K394" s="9">
        <v>704</v>
      </c>
      <c r="L394" s="9">
        <v>2016</v>
      </c>
      <c r="M394" s="8" t="s">
        <v>2430</v>
      </c>
      <c r="N394" s="8" t="s">
        <v>119</v>
      </c>
      <c r="O394" s="8" t="s">
        <v>120</v>
      </c>
      <c r="P394" s="6" t="s">
        <v>666</v>
      </c>
      <c r="Q394" s="8" t="s">
        <v>45</v>
      </c>
      <c r="R394" s="10"/>
      <c r="S394" s="11"/>
      <c r="T394" s="6"/>
      <c r="U394" s="12"/>
      <c r="V394" s="12"/>
      <c r="W394" s="8" t="s">
        <v>2431</v>
      </c>
      <c r="X394" s="6"/>
      <c r="Y394" s="6"/>
      <c r="Z394" s="6"/>
      <c r="AA394" s="6" t="s">
        <v>227</v>
      </c>
      <c r="AB394" s="8"/>
    </row>
    <row r="395" spans="1:28" s="4" customFormat="1" ht="33" customHeight="1">
      <c r="A395" s="5">
        <v>0</v>
      </c>
      <c r="B395" s="6" t="s">
        <v>2432</v>
      </c>
      <c r="C395" s="7">
        <v>1490.3</v>
      </c>
      <c r="D395" s="8" t="s">
        <v>2433</v>
      </c>
      <c r="E395" s="8" t="s">
        <v>2434</v>
      </c>
      <c r="F395" s="8" t="s">
        <v>2435</v>
      </c>
      <c r="G395" s="6" t="s">
        <v>96</v>
      </c>
      <c r="H395" s="6" t="s">
        <v>167</v>
      </c>
      <c r="I395" s="8"/>
      <c r="J395" s="9">
        <v>6</v>
      </c>
      <c r="K395" s="9">
        <v>720</v>
      </c>
      <c r="L395" s="9">
        <v>2016</v>
      </c>
      <c r="M395" s="8" t="s">
        <v>2436</v>
      </c>
      <c r="N395" s="8" t="s">
        <v>119</v>
      </c>
      <c r="O395" s="8" t="s">
        <v>120</v>
      </c>
      <c r="P395" s="6" t="s">
        <v>666</v>
      </c>
      <c r="Q395" s="8" t="s">
        <v>45</v>
      </c>
      <c r="R395" s="10"/>
      <c r="S395" s="11"/>
      <c r="T395" s="6"/>
      <c r="U395" s="12"/>
      <c r="V395" s="12"/>
      <c r="W395" s="8" t="s">
        <v>202</v>
      </c>
      <c r="X395" s="6"/>
      <c r="Y395" s="6"/>
      <c r="Z395" s="6"/>
      <c r="AA395" s="6" t="s">
        <v>227</v>
      </c>
      <c r="AB395" s="8"/>
    </row>
    <row r="396" spans="1:28" s="4" customFormat="1" ht="33" customHeight="1">
      <c r="A396" s="5">
        <v>0</v>
      </c>
      <c r="B396" s="6" t="s">
        <v>2437</v>
      </c>
      <c r="C396" s="7">
        <v>1526.3</v>
      </c>
      <c r="D396" s="8" t="s">
        <v>2438</v>
      </c>
      <c r="E396" s="8" t="s">
        <v>2439</v>
      </c>
      <c r="F396" s="8" t="s">
        <v>2440</v>
      </c>
      <c r="G396" s="6" t="s">
        <v>96</v>
      </c>
      <c r="H396" s="6" t="s">
        <v>167</v>
      </c>
      <c r="I396" s="8"/>
      <c r="J396" s="9">
        <v>6</v>
      </c>
      <c r="K396" s="9">
        <v>784</v>
      </c>
      <c r="L396" s="9">
        <v>2016</v>
      </c>
      <c r="M396" s="8" t="s">
        <v>2441</v>
      </c>
      <c r="N396" s="8" t="s">
        <v>119</v>
      </c>
      <c r="O396" s="8" t="s">
        <v>120</v>
      </c>
      <c r="P396" s="6" t="s">
        <v>666</v>
      </c>
      <c r="Q396" s="8" t="s">
        <v>45</v>
      </c>
      <c r="R396" s="10"/>
      <c r="S396" s="11"/>
      <c r="T396" s="6"/>
      <c r="U396" s="12"/>
      <c r="V396" s="12"/>
      <c r="W396" s="8" t="s">
        <v>2431</v>
      </c>
      <c r="X396" s="6"/>
      <c r="Y396" s="6"/>
      <c r="Z396" s="6"/>
      <c r="AA396" s="6" t="s">
        <v>227</v>
      </c>
      <c r="AB396" s="8"/>
    </row>
    <row r="397" spans="1:28" s="4" customFormat="1" ht="44.1" customHeight="1">
      <c r="A397" s="5">
        <v>0</v>
      </c>
      <c r="B397" s="6" t="s">
        <v>2442</v>
      </c>
      <c r="C397" s="7">
        <v>1128</v>
      </c>
      <c r="D397" s="8" t="s">
        <v>2443</v>
      </c>
      <c r="E397" s="8" t="s">
        <v>2444</v>
      </c>
      <c r="F397" s="8" t="s">
        <v>2445</v>
      </c>
      <c r="G397" s="6" t="s">
        <v>96</v>
      </c>
      <c r="H397" s="6" t="s">
        <v>39</v>
      </c>
      <c r="I397" s="8" t="s">
        <v>1126</v>
      </c>
      <c r="J397" s="9">
        <v>1</v>
      </c>
      <c r="K397" s="9">
        <v>195</v>
      </c>
      <c r="L397" s="9">
        <v>2023</v>
      </c>
      <c r="M397" s="8" t="s">
        <v>2446</v>
      </c>
      <c r="N397" s="8" t="s">
        <v>144</v>
      </c>
      <c r="O397" s="8" t="s">
        <v>145</v>
      </c>
      <c r="P397" s="6" t="s">
        <v>44</v>
      </c>
      <c r="Q397" s="8" t="s">
        <v>45</v>
      </c>
      <c r="R397" s="10" t="s">
        <v>2447</v>
      </c>
      <c r="S397" s="11"/>
      <c r="T397" s="6"/>
      <c r="U397" s="24" t="str">
        <f>HYPERLINK("https://media.infra-m.ru/1893/1893199/cover/1893199.jpg", "Обложка")</f>
        <v>Обложка</v>
      </c>
      <c r="V397" s="24" t="str">
        <f>HYPERLINK("https://znanium.ru/catalog/product/1893199", "Ознакомиться")</f>
        <v>Ознакомиться</v>
      </c>
      <c r="W397" s="8" t="s">
        <v>2448</v>
      </c>
      <c r="X397" s="6"/>
      <c r="Y397" s="6"/>
      <c r="Z397" s="6"/>
      <c r="AA397" s="6" t="s">
        <v>91</v>
      </c>
      <c r="AB397" s="8"/>
    </row>
    <row r="398" spans="1:28" s="4" customFormat="1" ht="44.1" customHeight="1">
      <c r="A398" s="5">
        <v>0</v>
      </c>
      <c r="B398" s="6" t="s">
        <v>2449</v>
      </c>
      <c r="C398" s="7">
        <v>1620</v>
      </c>
      <c r="D398" s="8" t="s">
        <v>2450</v>
      </c>
      <c r="E398" s="8" t="s">
        <v>2451</v>
      </c>
      <c r="F398" s="8" t="s">
        <v>2452</v>
      </c>
      <c r="G398" s="6" t="s">
        <v>38</v>
      </c>
      <c r="H398" s="6" t="s">
        <v>39</v>
      </c>
      <c r="I398" s="8" t="s">
        <v>40</v>
      </c>
      <c r="J398" s="9">
        <v>1</v>
      </c>
      <c r="K398" s="9">
        <v>260</v>
      </c>
      <c r="L398" s="9">
        <v>2026</v>
      </c>
      <c r="M398" s="8" t="s">
        <v>2453</v>
      </c>
      <c r="N398" s="8" t="s">
        <v>144</v>
      </c>
      <c r="O398" s="8" t="s">
        <v>145</v>
      </c>
      <c r="P398" s="6" t="s">
        <v>44</v>
      </c>
      <c r="Q398" s="8" t="s">
        <v>45</v>
      </c>
      <c r="R398" s="10" t="s">
        <v>2454</v>
      </c>
      <c r="S398" s="11"/>
      <c r="T398" s="6"/>
      <c r="U398" s="24" t="str">
        <f>HYPERLINK("https://media.infra-m.ru/2220/2220959/cover/2220959.jpg", "Обложка")</f>
        <v>Обложка</v>
      </c>
      <c r="V398" s="24" t="str">
        <f>HYPERLINK("https://znanium.ru/catalog/product/2220959", "Ознакомиться")</f>
        <v>Ознакомиться</v>
      </c>
      <c r="W398" s="8" t="s">
        <v>2455</v>
      </c>
      <c r="X398" s="6"/>
      <c r="Y398" s="6"/>
      <c r="Z398" s="6"/>
      <c r="AA398" s="6" t="s">
        <v>213</v>
      </c>
      <c r="AB398" s="8"/>
    </row>
    <row r="399" spans="1:28" s="4" customFormat="1" ht="42" customHeight="1">
      <c r="A399" s="5">
        <v>0</v>
      </c>
      <c r="B399" s="6" t="s">
        <v>2456</v>
      </c>
      <c r="C399" s="13">
        <v>972</v>
      </c>
      <c r="D399" s="8" t="s">
        <v>2457</v>
      </c>
      <c r="E399" s="8" t="s">
        <v>2458</v>
      </c>
      <c r="F399" s="8" t="s">
        <v>2459</v>
      </c>
      <c r="G399" s="6" t="s">
        <v>38</v>
      </c>
      <c r="H399" s="6" t="s">
        <v>39</v>
      </c>
      <c r="I399" s="8" t="s">
        <v>40</v>
      </c>
      <c r="J399" s="9">
        <v>1</v>
      </c>
      <c r="K399" s="9">
        <v>167</v>
      </c>
      <c r="L399" s="9">
        <v>2023</v>
      </c>
      <c r="M399" s="8" t="s">
        <v>2460</v>
      </c>
      <c r="N399" s="8" t="s">
        <v>144</v>
      </c>
      <c r="O399" s="8" t="s">
        <v>145</v>
      </c>
      <c r="P399" s="6" t="s">
        <v>44</v>
      </c>
      <c r="Q399" s="8" t="s">
        <v>45</v>
      </c>
      <c r="R399" s="10" t="s">
        <v>2461</v>
      </c>
      <c r="S399" s="11"/>
      <c r="T399" s="6"/>
      <c r="U399" s="24" t="str">
        <f>HYPERLINK("https://media.infra-m.ru/1897/1897148/cover/1897148.jpg", "Обложка")</f>
        <v>Обложка</v>
      </c>
      <c r="V399" s="24" t="str">
        <f>HYPERLINK("https://znanium.ru/catalog/product/1897148", "Ознакомиться")</f>
        <v>Ознакомиться</v>
      </c>
      <c r="W399" s="8" t="s">
        <v>156</v>
      </c>
      <c r="X399" s="6"/>
      <c r="Y399" s="6"/>
      <c r="Z399" s="6"/>
      <c r="AA399" s="6" t="s">
        <v>91</v>
      </c>
      <c r="AB399" s="8"/>
    </row>
    <row r="400" spans="1:28" s="4" customFormat="1" ht="42" customHeight="1">
      <c r="A400" s="5">
        <v>0</v>
      </c>
      <c r="B400" s="6" t="s">
        <v>2462</v>
      </c>
      <c r="C400" s="13">
        <v>828</v>
      </c>
      <c r="D400" s="8" t="s">
        <v>2463</v>
      </c>
      <c r="E400" s="8" t="s">
        <v>2464</v>
      </c>
      <c r="F400" s="8" t="s">
        <v>2465</v>
      </c>
      <c r="G400" s="6" t="s">
        <v>38</v>
      </c>
      <c r="H400" s="6" t="s">
        <v>39</v>
      </c>
      <c r="I400" s="8" t="s">
        <v>40</v>
      </c>
      <c r="J400" s="9">
        <v>1</v>
      </c>
      <c r="K400" s="9">
        <v>158</v>
      </c>
      <c r="L400" s="9">
        <v>2022</v>
      </c>
      <c r="M400" s="8" t="s">
        <v>2466</v>
      </c>
      <c r="N400" s="8" t="s">
        <v>42</v>
      </c>
      <c r="O400" s="8" t="s">
        <v>72</v>
      </c>
      <c r="P400" s="6" t="s">
        <v>44</v>
      </c>
      <c r="Q400" s="8" t="s">
        <v>45</v>
      </c>
      <c r="R400" s="10" t="s">
        <v>2467</v>
      </c>
      <c r="S400" s="11"/>
      <c r="T400" s="6"/>
      <c r="U400" s="24" t="str">
        <f>HYPERLINK("https://media.infra-m.ru/1856/1856825/cover/1856825.jpg", "Обложка")</f>
        <v>Обложка</v>
      </c>
      <c r="V400" s="24" t="str">
        <f>HYPERLINK("https://znanium.ru/catalog/product/1856825", "Ознакомиться")</f>
        <v>Ознакомиться</v>
      </c>
      <c r="W400" s="8" t="s">
        <v>2468</v>
      </c>
      <c r="X400" s="6"/>
      <c r="Y400" s="6"/>
      <c r="Z400" s="6"/>
      <c r="AA400" s="6" t="s">
        <v>83</v>
      </c>
      <c r="AB400" s="8"/>
    </row>
    <row r="401" spans="1:28" s="4" customFormat="1" ht="42" customHeight="1">
      <c r="A401" s="5">
        <v>0</v>
      </c>
      <c r="B401" s="6" t="s">
        <v>2469</v>
      </c>
      <c r="C401" s="7">
        <v>1252.8</v>
      </c>
      <c r="D401" s="8" t="s">
        <v>2470</v>
      </c>
      <c r="E401" s="8" t="s">
        <v>2471</v>
      </c>
      <c r="F401" s="8" t="s">
        <v>2472</v>
      </c>
      <c r="G401" s="6" t="s">
        <v>62</v>
      </c>
      <c r="H401" s="6" t="s">
        <v>39</v>
      </c>
      <c r="I401" s="8" t="s">
        <v>421</v>
      </c>
      <c r="J401" s="9">
        <v>1</v>
      </c>
      <c r="K401" s="9">
        <v>191</v>
      </c>
      <c r="L401" s="9">
        <v>2026</v>
      </c>
      <c r="M401" s="8" t="s">
        <v>2473</v>
      </c>
      <c r="N401" s="8" t="s">
        <v>119</v>
      </c>
      <c r="O401" s="8" t="s">
        <v>613</v>
      </c>
      <c r="P401" s="6" t="s">
        <v>425</v>
      </c>
      <c r="Q401" s="8" t="s">
        <v>180</v>
      </c>
      <c r="R401" s="10" t="s">
        <v>2474</v>
      </c>
      <c r="S401" s="11"/>
      <c r="T401" s="6"/>
      <c r="U401" s="24" t="str">
        <f>HYPERLINK("https://media.infra-m.ru/2226/2226494/cover/2226494.jpg", "Обложка")</f>
        <v>Обложка</v>
      </c>
      <c r="V401" s="24" t="str">
        <f>HYPERLINK("https://znanium.ru/catalog/product/2183780", "Ознакомиться")</f>
        <v>Ознакомиться</v>
      </c>
      <c r="W401" s="8" t="s">
        <v>156</v>
      </c>
      <c r="X401" s="6"/>
      <c r="Y401" s="6"/>
      <c r="Z401" s="6"/>
      <c r="AA401" s="6" t="s">
        <v>360</v>
      </c>
      <c r="AB401" s="8"/>
    </row>
    <row r="402" spans="1:28" s="4" customFormat="1" ht="51.95" customHeight="1">
      <c r="A402" s="5">
        <v>0</v>
      </c>
      <c r="B402" s="6" t="s">
        <v>2475</v>
      </c>
      <c r="C402" s="13">
        <v>700.8</v>
      </c>
      <c r="D402" s="8" t="s">
        <v>2476</v>
      </c>
      <c r="E402" s="8" t="s">
        <v>2477</v>
      </c>
      <c r="F402" s="8" t="s">
        <v>2478</v>
      </c>
      <c r="G402" s="6" t="s">
        <v>38</v>
      </c>
      <c r="H402" s="6" t="s">
        <v>39</v>
      </c>
      <c r="I402" s="8" t="s">
        <v>421</v>
      </c>
      <c r="J402" s="9">
        <v>1</v>
      </c>
      <c r="K402" s="9">
        <v>99</v>
      </c>
      <c r="L402" s="9">
        <v>2025</v>
      </c>
      <c r="M402" s="8" t="s">
        <v>2479</v>
      </c>
      <c r="N402" s="8" t="s">
        <v>42</v>
      </c>
      <c r="O402" s="8" t="s">
        <v>43</v>
      </c>
      <c r="P402" s="6" t="s">
        <v>425</v>
      </c>
      <c r="Q402" s="8" t="s">
        <v>180</v>
      </c>
      <c r="R402" s="10" t="s">
        <v>2480</v>
      </c>
      <c r="S402" s="11"/>
      <c r="T402" s="6"/>
      <c r="U402" s="24" t="str">
        <f>HYPERLINK("https://media.infra-m.ru/2206/2206153/cover/2206153.jpg", "Обложка")</f>
        <v>Обложка</v>
      </c>
      <c r="V402" s="24" t="str">
        <f>HYPERLINK("https://znanium.ru/catalog/product/2202167", "Ознакомиться")</f>
        <v>Ознакомиться</v>
      </c>
      <c r="W402" s="8" t="s">
        <v>768</v>
      </c>
      <c r="X402" s="6"/>
      <c r="Y402" s="6"/>
      <c r="Z402" s="6"/>
      <c r="AA402" s="6" t="s">
        <v>48</v>
      </c>
      <c r="AB402" s="8"/>
    </row>
    <row r="403" spans="1:28" s="4" customFormat="1" ht="42" customHeight="1">
      <c r="A403" s="5">
        <v>0</v>
      </c>
      <c r="B403" s="6" t="s">
        <v>2481</v>
      </c>
      <c r="C403" s="7">
        <v>1288.8</v>
      </c>
      <c r="D403" s="8" t="s">
        <v>2482</v>
      </c>
      <c r="E403" s="8" t="s">
        <v>2483</v>
      </c>
      <c r="F403" s="8" t="s">
        <v>2484</v>
      </c>
      <c r="G403" s="6" t="s">
        <v>38</v>
      </c>
      <c r="H403" s="6" t="s">
        <v>39</v>
      </c>
      <c r="I403" s="8" t="s">
        <v>40</v>
      </c>
      <c r="J403" s="9">
        <v>1</v>
      </c>
      <c r="K403" s="9">
        <v>214</v>
      </c>
      <c r="L403" s="9">
        <v>2025</v>
      </c>
      <c r="M403" s="8" t="s">
        <v>2485</v>
      </c>
      <c r="N403" s="8" t="s">
        <v>144</v>
      </c>
      <c r="O403" s="8" t="s">
        <v>145</v>
      </c>
      <c r="P403" s="6" t="s">
        <v>44</v>
      </c>
      <c r="Q403" s="8" t="s">
        <v>45</v>
      </c>
      <c r="R403" s="10" t="s">
        <v>2486</v>
      </c>
      <c r="S403" s="11"/>
      <c r="T403" s="6"/>
      <c r="U403" s="24" t="str">
        <f>HYPERLINK("https://media.infra-m.ru/2174/2174778/cover/2174778.jpg", "Обложка")</f>
        <v>Обложка</v>
      </c>
      <c r="V403" s="24" t="str">
        <f>HYPERLINK("https://znanium.ru/catalog/product/1984074", "Ознакомиться")</f>
        <v>Ознакомиться</v>
      </c>
      <c r="W403" s="8" t="s">
        <v>2487</v>
      </c>
      <c r="X403" s="6"/>
      <c r="Y403" s="6"/>
      <c r="Z403" s="6"/>
      <c r="AA403" s="6" t="s">
        <v>91</v>
      </c>
      <c r="AB403" s="8"/>
    </row>
    <row r="404" spans="1:28" s="4" customFormat="1" ht="42" customHeight="1">
      <c r="A404" s="5">
        <v>0</v>
      </c>
      <c r="B404" s="6" t="s">
        <v>2488</v>
      </c>
      <c r="C404" s="7">
        <v>1224</v>
      </c>
      <c r="D404" s="8" t="s">
        <v>2489</v>
      </c>
      <c r="E404" s="8" t="s">
        <v>2490</v>
      </c>
      <c r="F404" s="8" t="s">
        <v>2491</v>
      </c>
      <c r="G404" s="6" t="s">
        <v>62</v>
      </c>
      <c r="H404" s="6" t="s">
        <v>39</v>
      </c>
      <c r="I404" s="8" t="s">
        <v>421</v>
      </c>
      <c r="J404" s="9">
        <v>1</v>
      </c>
      <c r="K404" s="9">
        <v>192</v>
      </c>
      <c r="L404" s="9">
        <v>2025</v>
      </c>
      <c r="M404" s="8" t="s">
        <v>2492</v>
      </c>
      <c r="N404" s="8" t="s">
        <v>119</v>
      </c>
      <c r="O404" s="8" t="s">
        <v>432</v>
      </c>
      <c r="P404" s="6" t="s">
        <v>425</v>
      </c>
      <c r="Q404" s="8" t="s">
        <v>180</v>
      </c>
      <c r="R404" s="10" t="s">
        <v>2493</v>
      </c>
      <c r="S404" s="11"/>
      <c r="T404" s="6"/>
      <c r="U404" s="24" t="str">
        <f>HYPERLINK("https://media.infra-m.ru/2183/2183787/cover/2183787.jpg", "Обложка")</f>
        <v>Обложка</v>
      </c>
      <c r="V404" s="24" t="str">
        <f>HYPERLINK("https://znanium.ru/catalog/product/2183787", "Ознакомиться")</f>
        <v>Ознакомиться</v>
      </c>
      <c r="W404" s="8" t="s">
        <v>309</v>
      </c>
      <c r="X404" s="6"/>
      <c r="Y404" s="6"/>
      <c r="Z404" s="6"/>
      <c r="AA404" s="6" t="s">
        <v>360</v>
      </c>
      <c r="AB404" s="8" t="s">
        <v>559</v>
      </c>
    </row>
    <row r="405" spans="1:28" s="4" customFormat="1" ht="42" customHeight="1">
      <c r="A405" s="5">
        <v>0</v>
      </c>
      <c r="B405" s="6" t="s">
        <v>2494</v>
      </c>
      <c r="C405" s="7">
        <v>1740</v>
      </c>
      <c r="D405" s="8" t="s">
        <v>2495</v>
      </c>
      <c r="E405" s="8" t="s">
        <v>2496</v>
      </c>
      <c r="F405" s="8" t="s">
        <v>2497</v>
      </c>
      <c r="G405" s="6" t="s">
        <v>62</v>
      </c>
      <c r="H405" s="6" t="s">
        <v>39</v>
      </c>
      <c r="I405" s="8" t="s">
        <v>421</v>
      </c>
      <c r="J405" s="9">
        <v>1</v>
      </c>
      <c r="K405" s="9">
        <v>269</v>
      </c>
      <c r="L405" s="9">
        <v>2026</v>
      </c>
      <c r="M405" s="8" t="s">
        <v>2498</v>
      </c>
      <c r="N405" s="8" t="s">
        <v>42</v>
      </c>
      <c r="O405" s="8" t="s">
        <v>104</v>
      </c>
      <c r="P405" s="6" t="s">
        <v>425</v>
      </c>
      <c r="Q405" s="8" t="s">
        <v>1435</v>
      </c>
      <c r="R405" s="10" t="s">
        <v>2499</v>
      </c>
      <c r="S405" s="11"/>
      <c r="T405" s="6"/>
      <c r="U405" s="24" t="str">
        <f>HYPERLINK("https://media.infra-m.ru/2221/2221274/cover/2221274.jpg", "Обложка")</f>
        <v>Обложка</v>
      </c>
      <c r="V405" s="24" t="str">
        <f>HYPERLINK("https://znanium.ru/catalog/product/2221274", "Ознакомиться")</f>
        <v>Ознакомиться</v>
      </c>
      <c r="W405" s="8" t="s">
        <v>2500</v>
      </c>
      <c r="X405" s="6"/>
      <c r="Y405" s="6"/>
      <c r="Z405" s="6"/>
      <c r="AA405" s="6" t="s">
        <v>360</v>
      </c>
      <c r="AB405" s="8"/>
    </row>
    <row r="406" spans="1:28" s="4" customFormat="1" ht="42" customHeight="1">
      <c r="A406" s="5">
        <v>0</v>
      </c>
      <c r="B406" s="6" t="s">
        <v>2501</v>
      </c>
      <c r="C406" s="13">
        <v>960</v>
      </c>
      <c r="D406" s="8" t="s">
        <v>2502</v>
      </c>
      <c r="E406" s="8" t="s">
        <v>2503</v>
      </c>
      <c r="F406" s="8" t="s">
        <v>2504</v>
      </c>
      <c r="G406" s="6" t="s">
        <v>38</v>
      </c>
      <c r="H406" s="6" t="s">
        <v>39</v>
      </c>
      <c r="I406" s="8" t="s">
        <v>40</v>
      </c>
      <c r="J406" s="9">
        <v>1</v>
      </c>
      <c r="K406" s="9">
        <v>204</v>
      </c>
      <c r="L406" s="9">
        <v>2022</v>
      </c>
      <c r="M406" s="8" t="s">
        <v>2505</v>
      </c>
      <c r="N406" s="8" t="s">
        <v>144</v>
      </c>
      <c r="O406" s="8" t="s">
        <v>145</v>
      </c>
      <c r="P406" s="6" t="s">
        <v>44</v>
      </c>
      <c r="Q406" s="8" t="s">
        <v>45</v>
      </c>
      <c r="R406" s="10" t="s">
        <v>146</v>
      </c>
      <c r="S406" s="11"/>
      <c r="T406" s="6"/>
      <c r="U406" s="24" t="str">
        <f>HYPERLINK("https://media.infra-m.ru/1853/1853838/cover/1853838.jpg", "Обложка")</f>
        <v>Обложка</v>
      </c>
      <c r="V406" s="24" t="str">
        <f>HYPERLINK("https://znanium.ru/catalog/product/1853838", "Ознакомиться")</f>
        <v>Ознакомиться</v>
      </c>
      <c r="W406" s="8" t="s">
        <v>156</v>
      </c>
      <c r="X406" s="6"/>
      <c r="Y406" s="6"/>
      <c r="Z406" s="6"/>
      <c r="AA406" s="6" t="s">
        <v>183</v>
      </c>
      <c r="AB406" s="8"/>
    </row>
    <row r="407" spans="1:28" s="4" customFormat="1" ht="42" customHeight="1">
      <c r="A407" s="5">
        <v>0</v>
      </c>
      <c r="B407" s="6" t="s">
        <v>2506</v>
      </c>
      <c r="C407" s="13">
        <v>708</v>
      </c>
      <c r="D407" s="8" t="s">
        <v>2507</v>
      </c>
      <c r="E407" s="8" t="s">
        <v>2508</v>
      </c>
      <c r="F407" s="8" t="s">
        <v>2509</v>
      </c>
      <c r="G407" s="6" t="s">
        <v>38</v>
      </c>
      <c r="H407" s="6" t="s">
        <v>39</v>
      </c>
      <c r="I407" s="8" t="s">
        <v>40</v>
      </c>
      <c r="J407" s="9">
        <v>1</v>
      </c>
      <c r="K407" s="9">
        <v>128</v>
      </c>
      <c r="L407" s="9">
        <v>2024</v>
      </c>
      <c r="M407" s="8" t="s">
        <v>2510</v>
      </c>
      <c r="N407" s="8" t="s">
        <v>144</v>
      </c>
      <c r="O407" s="8" t="s">
        <v>145</v>
      </c>
      <c r="P407" s="6" t="s">
        <v>44</v>
      </c>
      <c r="Q407" s="8" t="s">
        <v>45</v>
      </c>
      <c r="R407" s="10" t="s">
        <v>1098</v>
      </c>
      <c r="S407" s="11"/>
      <c r="T407" s="6"/>
      <c r="U407" s="24" t="str">
        <f>HYPERLINK("https://media.infra-m.ru/2086/2086852/cover/2086852.jpg", "Обложка")</f>
        <v>Обложка</v>
      </c>
      <c r="V407" s="24" t="str">
        <f>HYPERLINK("https://znanium.ru/catalog/product/2086852", "Ознакомиться")</f>
        <v>Ознакомиться</v>
      </c>
      <c r="W407" s="8" t="s">
        <v>2511</v>
      </c>
      <c r="X407" s="6"/>
      <c r="Y407" s="6"/>
      <c r="Z407" s="6"/>
      <c r="AA407" s="6" t="s">
        <v>213</v>
      </c>
      <c r="AB407" s="8"/>
    </row>
    <row r="408" spans="1:28" s="4" customFormat="1" ht="44.1" customHeight="1">
      <c r="A408" s="5">
        <v>0</v>
      </c>
      <c r="B408" s="6" t="s">
        <v>2512</v>
      </c>
      <c r="C408" s="7">
        <v>1288.8</v>
      </c>
      <c r="D408" s="8" t="s">
        <v>2513</v>
      </c>
      <c r="E408" s="8" t="s">
        <v>2514</v>
      </c>
      <c r="F408" s="8" t="s">
        <v>2515</v>
      </c>
      <c r="G408" s="6" t="s">
        <v>38</v>
      </c>
      <c r="H408" s="6" t="s">
        <v>39</v>
      </c>
      <c r="I408" s="8" t="s">
        <v>40</v>
      </c>
      <c r="J408" s="9">
        <v>1</v>
      </c>
      <c r="K408" s="9">
        <v>215</v>
      </c>
      <c r="L408" s="9">
        <v>2024</v>
      </c>
      <c r="M408" s="8" t="s">
        <v>2516</v>
      </c>
      <c r="N408" s="8" t="s">
        <v>144</v>
      </c>
      <c r="O408" s="8" t="s">
        <v>145</v>
      </c>
      <c r="P408" s="6" t="s">
        <v>44</v>
      </c>
      <c r="Q408" s="8" t="s">
        <v>45</v>
      </c>
      <c r="R408" s="10" t="s">
        <v>2517</v>
      </c>
      <c r="S408" s="11"/>
      <c r="T408" s="6"/>
      <c r="U408" s="24" t="str">
        <f>HYPERLINK("https://media.infra-m.ru/2159/2159181/cover/2159181.jpg", "Обложка")</f>
        <v>Обложка</v>
      </c>
      <c r="V408" s="24" t="str">
        <f>HYPERLINK("https://znanium.ru/catalog/product/1853445", "Ознакомиться")</f>
        <v>Ознакомиться</v>
      </c>
      <c r="W408" s="8" t="s">
        <v>220</v>
      </c>
      <c r="X408" s="6"/>
      <c r="Y408" s="6"/>
      <c r="Z408" s="6"/>
      <c r="AA408" s="6" t="s">
        <v>129</v>
      </c>
      <c r="AB408" s="8"/>
    </row>
    <row r="409" spans="1:28" s="4" customFormat="1" ht="51.95" customHeight="1">
      <c r="A409" s="5">
        <v>0</v>
      </c>
      <c r="B409" s="6" t="s">
        <v>2518</v>
      </c>
      <c r="C409" s="7">
        <v>1236</v>
      </c>
      <c r="D409" s="8" t="s">
        <v>2519</v>
      </c>
      <c r="E409" s="8" t="s">
        <v>2520</v>
      </c>
      <c r="F409" s="8" t="s">
        <v>134</v>
      </c>
      <c r="G409" s="6" t="s">
        <v>96</v>
      </c>
      <c r="H409" s="6" t="s">
        <v>39</v>
      </c>
      <c r="I409" s="8" t="s">
        <v>40</v>
      </c>
      <c r="J409" s="9">
        <v>1</v>
      </c>
      <c r="K409" s="9">
        <v>211</v>
      </c>
      <c r="L409" s="9">
        <v>2024</v>
      </c>
      <c r="M409" s="8" t="s">
        <v>2521</v>
      </c>
      <c r="N409" s="8" t="s">
        <v>42</v>
      </c>
      <c r="O409" s="8" t="s">
        <v>72</v>
      </c>
      <c r="P409" s="6" t="s">
        <v>44</v>
      </c>
      <c r="Q409" s="8" t="s">
        <v>45</v>
      </c>
      <c r="R409" s="10" t="s">
        <v>2522</v>
      </c>
      <c r="S409" s="11"/>
      <c r="T409" s="6"/>
      <c r="U409" s="24" t="str">
        <f>HYPERLINK("https://media.infra-m.ru/2116/2116144/cover/2116144.jpg", "Обложка")</f>
        <v>Обложка</v>
      </c>
      <c r="V409" s="24" t="str">
        <f>HYPERLINK("https://znanium.ru/catalog/product/2116144", "Ознакомиться")</f>
        <v>Ознакомиться</v>
      </c>
      <c r="W409" s="8" t="s">
        <v>137</v>
      </c>
      <c r="X409" s="6"/>
      <c r="Y409" s="6"/>
      <c r="Z409" s="6"/>
      <c r="AA409" s="6" t="s">
        <v>48</v>
      </c>
      <c r="AB409" s="8"/>
    </row>
    <row r="410" spans="1:28" s="4" customFormat="1" ht="42" customHeight="1">
      <c r="A410" s="5">
        <v>0</v>
      </c>
      <c r="B410" s="6" t="s">
        <v>2523</v>
      </c>
      <c r="C410" s="7">
        <v>1768.8</v>
      </c>
      <c r="D410" s="8" t="s">
        <v>2524</v>
      </c>
      <c r="E410" s="8" t="s">
        <v>2525</v>
      </c>
      <c r="F410" s="8" t="s">
        <v>2526</v>
      </c>
      <c r="G410" s="6" t="s">
        <v>96</v>
      </c>
      <c r="H410" s="6" t="s">
        <v>188</v>
      </c>
      <c r="I410" s="8" t="s">
        <v>1255</v>
      </c>
      <c r="J410" s="9">
        <v>1</v>
      </c>
      <c r="K410" s="9">
        <v>320</v>
      </c>
      <c r="L410" s="9">
        <v>2024</v>
      </c>
      <c r="M410" s="8" t="s">
        <v>2527</v>
      </c>
      <c r="N410" s="8" t="s">
        <v>119</v>
      </c>
      <c r="O410" s="8" t="s">
        <v>381</v>
      </c>
      <c r="P410" s="6" t="s">
        <v>199</v>
      </c>
      <c r="Q410" s="8" t="s">
        <v>200</v>
      </c>
      <c r="R410" s="10" t="s">
        <v>2528</v>
      </c>
      <c r="S410" s="11"/>
      <c r="T410" s="6"/>
      <c r="U410" s="24" t="str">
        <f>HYPERLINK("https://media.infra-m.ru/2017/2017244/cover/2017244.jpg", "Обложка")</f>
        <v>Обложка</v>
      </c>
      <c r="V410" s="24" t="str">
        <f>HYPERLINK("https://znanium.ru/catalog/product/1841420", "Ознакомиться")</f>
        <v>Ознакомиться</v>
      </c>
      <c r="W410" s="8" t="s">
        <v>544</v>
      </c>
      <c r="X410" s="6"/>
      <c r="Y410" s="6"/>
      <c r="Z410" s="6"/>
      <c r="AA410" s="6" t="s">
        <v>75</v>
      </c>
      <c r="AB410" s="8"/>
    </row>
    <row r="411" spans="1:28" s="4" customFormat="1" ht="44.1" customHeight="1">
      <c r="A411" s="5">
        <v>0</v>
      </c>
      <c r="B411" s="6" t="s">
        <v>2529</v>
      </c>
      <c r="C411" s="7">
        <v>1428</v>
      </c>
      <c r="D411" s="8" t="s">
        <v>2530</v>
      </c>
      <c r="E411" s="8" t="s">
        <v>2531</v>
      </c>
      <c r="F411" s="8" t="s">
        <v>2532</v>
      </c>
      <c r="G411" s="6" t="s">
        <v>38</v>
      </c>
      <c r="H411" s="6" t="s">
        <v>39</v>
      </c>
      <c r="I411" s="8" t="s">
        <v>40</v>
      </c>
      <c r="J411" s="9">
        <v>1</v>
      </c>
      <c r="K411" s="9">
        <v>245</v>
      </c>
      <c r="L411" s="9">
        <v>2024</v>
      </c>
      <c r="M411" s="8" t="s">
        <v>2533</v>
      </c>
      <c r="N411" s="8" t="s">
        <v>144</v>
      </c>
      <c r="O411" s="8" t="s">
        <v>145</v>
      </c>
      <c r="P411" s="6" t="s">
        <v>44</v>
      </c>
      <c r="Q411" s="8" t="s">
        <v>45</v>
      </c>
      <c r="R411" s="10" t="s">
        <v>2534</v>
      </c>
      <c r="S411" s="11"/>
      <c r="T411" s="6"/>
      <c r="U411" s="24" t="str">
        <f>HYPERLINK("https://media.infra-m.ru/2085/2085936/cover/2085936.jpg", "Обложка")</f>
        <v>Обложка</v>
      </c>
      <c r="V411" s="24" t="str">
        <f>HYPERLINK("https://znanium.ru/catalog/product/2085936", "Ознакомиться")</f>
        <v>Ознакомиться</v>
      </c>
      <c r="W411" s="8" t="s">
        <v>558</v>
      </c>
      <c r="X411" s="6"/>
      <c r="Y411" s="6"/>
      <c r="Z411" s="6"/>
      <c r="AA411" s="6" t="s">
        <v>48</v>
      </c>
      <c r="AB411" s="8"/>
    </row>
    <row r="412" spans="1:28" s="4" customFormat="1" ht="51.95" customHeight="1">
      <c r="A412" s="5">
        <v>0</v>
      </c>
      <c r="B412" s="6" t="s">
        <v>2535</v>
      </c>
      <c r="C412" s="13">
        <v>816</v>
      </c>
      <c r="D412" s="8" t="s">
        <v>2536</v>
      </c>
      <c r="E412" s="8" t="s">
        <v>2537</v>
      </c>
      <c r="F412" s="8" t="s">
        <v>2538</v>
      </c>
      <c r="G412" s="6" t="s">
        <v>38</v>
      </c>
      <c r="H412" s="6" t="s">
        <v>39</v>
      </c>
      <c r="I412" s="8" t="s">
        <v>40</v>
      </c>
      <c r="J412" s="9">
        <v>1</v>
      </c>
      <c r="K412" s="9">
        <v>137</v>
      </c>
      <c r="L412" s="9">
        <v>2024</v>
      </c>
      <c r="M412" s="8" t="s">
        <v>2539</v>
      </c>
      <c r="N412" s="8" t="s">
        <v>42</v>
      </c>
      <c r="O412" s="8" t="s">
        <v>43</v>
      </c>
      <c r="P412" s="6" t="s">
        <v>248</v>
      </c>
      <c r="Q412" s="8" t="s">
        <v>45</v>
      </c>
      <c r="R412" s="10" t="s">
        <v>2540</v>
      </c>
      <c r="S412" s="11"/>
      <c r="T412" s="6"/>
      <c r="U412" s="24" t="str">
        <f>HYPERLINK("https://media.infra-m.ru/1911/1911446/cover/1911446.jpg", "Обложка")</f>
        <v>Обложка</v>
      </c>
      <c r="V412" s="24" t="str">
        <f>HYPERLINK("https://znanium.ru/catalog/product/1911446", "Ознакомиться")</f>
        <v>Ознакомиться</v>
      </c>
      <c r="W412" s="8"/>
      <c r="X412" s="6"/>
      <c r="Y412" s="6"/>
      <c r="Z412" s="6"/>
      <c r="AA412" s="6" t="s">
        <v>48</v>
      </c>
      <c r="AB412" s="8"/>
    </row>
    <row r="413" spans="1:28" s="4" customFormat="1" ht="42" customHeight="1">
      <c r="A413" s="5">
        <v>0</v>
      </c>
      <c r="B413" s="6" t="s">
        <v>2541</v>
      </c>
      <c r="C413" s="7">
        <v>1140</v>
      </c>
      <c r="D413" s="8" t="s">
        <v>2542</v>
      </c>
      <c r="E413" s="8" t="s">
        <v>2543</v>
      </c>
      <c r="F413" s="8" t="s">
        <v>2544</v>
      </c>
      <c r="G413" s="6" t="s">
        <v>62</v>
      </c>
      <c r="H413" s="6" t="s">
        <v>39</v>
      </c>
      <c r="I413" s="8" t="s">
        <v>40</v>
      </c>
      <c r="J413" s="9">
        <v>1</v>
      </c>
      <c r="K413" s="9">
        <v>189</v>
      </c>
      <c r="L413" s="9">
        <v>2025</v>
      </c>
      <c r="M413" s="8" t="s">
        <v>2545</v>
      </c>
      <c r="N413" s="8" t="s">
        <v>144</v>
      </c>
      <c r="O413" s="8" t="s">
        <v>145</v>
      </c>
      <c r="P413" s="6" t="s">
        <v>44</v>
      </c>
      <c r="Q413" s="8" t="s">
        <v>45</v>
      </c>
      <c r="R413" s="10" t="s">
        <v>2546</v>
      </c>
      <c r="S413" s="11"/>
      <c r="T413" s="6"/>
      <c r="U413" s="24" t="str">
        <f>HYPERLINK("https://media.infra-m.ru/2158/2158048/cover/2158048.jpg", "Обложка")</f>
        <v>Обложка</v>
      </c>
      <c r="V413" s="24" t="str">
        <f>HYPERLINK("https://znanium.ru/catalog/product/2158048", "Ознакомиться")</f>
        <v>Ознакомиться</v>
      </c>
      <c r="W413" s="8" t="s">
        <v>74</v>
      </c>
      <c r="X413" s="6"/>
      <c r="Y413" s="6"/>
      <c r="Z413" s="6"/>
      <c r="AA413" s="6" t="s">
        <v>213</v>
      </c>
      <c r="AB413" s="8"/>
    </row>
    <row r="414" spans="1:28" s="4" customFormat="1" ht="51.95" customHeight="1">
      <c r="A414" s="5">
        <v>0</v>
      </c>
      <c r="B414" s="6" t="s">
        <v>2547</v>
      </c>
      <c r="C414" s="7">
        <v>2724</v>
      </c>
      <c r="D414" s="8" t="s">
        <v>2548</v>
      </c>
      <c r="E414" s="8" t="s">
        <v>2549</v>
      </c>
      <c r="F414" s="8" t="s">
        <v>2550</v>
      </c>
      <c r="G414" s="6" t="s">
        <v>38</v>
      </c>
      <c r="H414" s="6" t="s">
        <v>39</v>
      </c>
      <c r="I414" s="8" t="s">
        <v>40</v>
      </c>
      <c r="J414" s="9">
        <v>1</v>
      </c>
      <c r="K414" s="9">
        <v>482</v>
      </c>
      <c r="L414" s="9">
        <v>2024</v>
      </c>
      <c r="M414" s="8" t="s">
        <v>2551</v>
      </c>
      <c r="N414" s="8" t="s">
        <v>42</v>
      </c>
      <c r="O414" s="8" t="s">
        <v>43</v>
      </c>
      <c r="P414" s="6" t="s">
        <v>44</v>
      </c>
      <c r="Q414" s="8" t="s">
        <v>45</v>
      </c>
      <c r="R414" s="10" t="s">
        <v>2552</v>
      </c>
      <c r="S414" s="11"/>
      <c r="T414" s="6"/>
      <c r="U414" s="24" t="str">
        <f>HYPERLINK("https://media.infra-m.ru/2116/2116995/cover/2116995.jpg", "Обложка")</f>
        <v>Обложка</v>
      </c>
      <c r="V414" s="24" t="str">
        <f>HYPERLINK("https://znanium.ru/catalog/product/2116995", "Ознакомиться")</f>
        <v>Ознакомиться</v>
      </c>
      <c r="W414" s="8" t="s">
        <v>2553</v>
      </c>
      <c r="X414" s="6"/>
      <c r="Y414" s="6"/>
      <c r="Z414" s="6"/>
      <c r="AA414" s="6" t="s">
        <v>138</v>
      </c>
      <c r="AB414" s="8"/>
    </row>
    <row r="415" spans="1:28" s="4" customFormat="1" ht="42" customHeight="1">
      <c r="A415" s="5">
        <v>0</v>
      </c>
      <c r="B415" s="6" t="s">
        <v>2554</v>
      </c>
      <c r="C415" s="7">
        <v>2172</v>
      </c>
      <c r="D415" s="8" t="s">
        <v>2555</v>
      </c>
      <c r="E415" s="8" t="s">
        <v>2556</v>
      </c>
      <c r="F415" s="8" t="s">
        <v>2557</v>
      </c>
      <c r="G415" s="6" t="s">
        <v>96</v>
      </c>
      <c r="H415" s="6" t="s">
        <v>39</v>
      </c>
      <c r="I415" s="8" t="s">
        <v>40</v>
      </c>
      <c r="J415" s="9">
        <v>1</v>
      </c>
      <c r="K415" s="9">
        <v>356</v>
      </c>
      <c r="L415" s="9">
        <v>2025</v>
      </c>
      <c r="M415" s="8" t="s">
        <v>2558</v>
      </c>
      <c r="N415" s="8" t="s">
        <v>42</v>
      </c>
      <c r="O415" s="8" t="s">
        <v>89</v>
      </c>
      <c r="P415" s="6" t="s">
        <v>44</v>
      </c>
      <c r="Q415" s="8" t="s">
        <v>45</v>
      </c>
      <c r="R415" s="10" t="s">
        <v>2559</v>
      </c>
      <c r="S415" s="11"/>
      <c r="T415" s="6"/>
      <c r="U415" s="24" t="str">
        <f>HYPERLINK("https://media.infra-m.ru/2168/2168595/cover/2168595.jpg", "Обложка")</f>
        <v>Обложка</v>
      </c>
      <c r="V415" s="24" t="str">
        <f>HYPERLINK("https://znanium.ru/catalog/product/2168595", "Ознакомиться")</f>
        <v>Ознакомиться</v>
      </c>
      <c r="W415" s="8" t="s">
        <v>220</v>
      </c>
      <c r="X415" s="6" t="s">
        <v>1044</v>
      </c>
      <c r="Y415" s="6"/>
      <c r="Z415" s="6"/>
      <c r="AA415" s="6" t="s">
        <v>360</v>
      </c>
      <c r="AB415" s="8"/>
    </row>
    <row r="416" spans="1:28" s="4" customFormat="1" ht="42" customHeight="1">
      <c r="A416" s="5">
        <v>0</v>
      </c>
      <c r="B416" s="6" t="s">
        <v>2560</v>
      </c>
      <c r="C416" s="13">
        <v>708</v>
      </c>
      <c r="D416" s="8" t="s">
        <v>2561</v>
      </c>
      <c r="E416" s="8" t="s">
        <v>2562</v>
      </c>
      <c r="F416" s="8" t="s">
        <v>291</v>
      </c>
      <c r="G416" s="6" t="s">
        <v>38</v>
      </c>
      <c r="H416" s="6" t="s">
        <v>39</v>
      </c>
      <c r="I416" s="8" t="s">
        <v>40</v>
      </c>
      <c r="J416" s="9">
        <v>1</v>
      </c>
      <c r="K416" s="9">
        <v>147</v>
      </c>
      <c r="L416" s="9">
        <v>2021</v>
      </c>
      <c r="M416" s="8" t="s">
        <v>2563</v>
      </c>
      <c r="N416" s="8" t="s">
        <v>42</v>
      </c>
      <c r="O416" s="8" t="s">
        <v>72</v>
      </c>
      <c r="P416" s="6" t="s">
        <v>44</v>
      </c>
      <c r="Q416" s="8" t="s">
        <v>45</v>
      </c>
      <c r="R416" s="10" t="s">
        <v>1027</v>
      </c>
      <c r="S416" s="11"/>
      <c r="T416" s="6"/>
      <c r="U416" s="24" t="str">
        <f>HYPERLINK("https://media.infra-m.ru/1218/1218149/cover/1218149.jpg", "Обложка")</f>
        <v>Обложка</v>
      </c>
      <c r="V416" s="24" t="str">
        <f>HYPERLINK("https://znanium.ru/catalog/product/1218149", "Ознакомиться")</f>
        <v>Ознакомиться</v>
      </c>
      <c r="W416" s="8" t="s">
        <v>293</v>
      </c>
      <c r="X416" s="6"/>
      <c r="Y416" s="6"/>
      <c r="Z416" s="6"/>
      <c r="AA416" s="6" t="s">
        <v>129</v>
      </c>
      <c r="AB416" s="8" t="s">
        <v>2564</v>
      </c>
    </row>
    <row r="417" spans="1:28" s="4" customFormat="1" ht="51.95" customHeight="1">
      <c r="A417" s="5">
        <v>0</v>
      </c>
      <c r="B417" s="6" t="s">
        <v>2565</v>
      </c>
      <c r="C417" s="7">
        <v>1476</v>
      </c>
      <c r="D417" s="8" t="s">
        <v>2566</v>
      </c>
      <c r="E417" s="8" t="s">
        <v>2567</v>
      </c>
      <c r="F417" s="8" t="s">
        <v>2568</v>
      </c>
      <c r="G417" s="6" t="s">
        <v>38</v>
      </c>
      <c r="H417" s="6" t="s">
        <v>118</v>
      </c>
      <c r="I417" s="8" t="s">
        <v>40</v>
      </c>
      <c r="J417" s="9">
        <v>1</v>
      </c>
      <c r="K417" s="9">
        <v>246</v>
      </c>
      <c r="L417" s="9">
        <v>2025</v>
      </c>
      <c r="M417" s="8" t="s">
        <v>2569</v>
      </c>
      <c r="N417" s="8" t="s">
        <v>42</v>
      </c>
      <c r="O417" s="8" t="s">
        <v>72</v>
      </c>
      <c r="P417" s="6" t="s">
        <v>44</v>
      </c>
      <c r="Q417" s="8" t="s">
        <v>45</v>
      </c>
      <c r="R417" s="10" t="s">
        <v>2570</v>
      </c>
      <c r="S417" s="11"/>
      <c r="T417" s="6"/>
      <c r="U417" s="24" t="str">
        <f>HYPERLINK("https://media.infra-m.ru/2119/2119940/cover/2119940.jpg", "Обложка")</f>
        <v>Обложка</v>
      </c>
      <c r="V417" s="24" t="str">
        <f>HYPERLINK("https://znanium.ru/catalog/product/2119940", "Ознакомиться")</f>
        <v>Ознакомиться</v>
      </c>
      <c r="W417" s="8" t="s">
        <v>2571</v>
      </c>
      <c r="X417" s="6"/>
      <c r="Y417" s="6"/>
      <c r="Z417" s="6"/>
      <c r="AA417" s="6" t="s">
        <v>273</v>
      </c>
      <c r="AB417" s="8"/>
    </row>
    <row r="418" spans="1:28" s="4" customFormat="1" ht="51.95" customHeight="1">
      <c r="A418" s="5">
        <v>0</v>
      </c>
      <c r="B418" s="6" t="s">
        <v>2572</v>
      </c>
      <c r="C418" s="7">
        <v>1032</v>
      </c>
      <c r="D418" s="8" t="s">
        <v>2573</v>
      </c>
      <c r="E418" s="8" t="s">
        <v>2574</v>
      </c>
      <c r="F418" s="8" t="s">
        <v>2568</v>
      </c>
      <c r="G418" s="6" t="s">
        <v>38</v>
      </c>
      <c r="H418" s="6" t="s">
        <v>118</v>
      </c>
      <c r="I418" s="8" t="s">
        <v>40</v>
      </c>
      <c r="J418" s="9">
        <v>1</v>
      </c>
      <c r="K418" s="9">
        <v>191</v>
      </c>
      <c r="L418" s="9">
        <v>2023</v>
      </c>
      <c r="M418" s="8" t="s">
        <v>2575</v>
      </c>
      <c r="N418" s="8" t="s">
        <v>42</v>
      </c>
      <c r="O418" s="8" t="s">
        <v>72</v>
      </c>
      <c r="P418" s="6" t="s">
        <v>44</v>
      </c>
      <c r="Q418" s="8" t="s">
        <v>784</v>
      </c>
      <c r="R418" s="10" t="s">
        <v>2576</v>
      </c>
      <c r="S418" s="11"/>
      <c r="T418" s="6"/>
      <c r="U418" s="24" t="str">
        <f>HYPERLINK("https://media.infra-m.ru/2005/2005203/cover/2005203.jpg", "Обложка")</f>
        <v>Обложка</v>
      </c>
      <c r="V418" s="24" t="str">
        <f>HYPERLINK("https://znanium.ru/catalog/product/2005203", "Ознакомиться")</f>
        <v>Ознакомиться</v>
      </c>
      <c r="W418" s="8" t="s">
        <v>2571</v>
      </c>
      <c r="X418" s="6"/>
      <c r="Y418" s="6"/>
      <c r="Z418" s="6"/>
      <c r="AA418" s="6" t="s">
        <v>300</v>
      </c>
      <c r="AB418" s="8"/>
    </row>
    <row r="419" spans="1:28" s="4" customFormat="1" ht="51.95" customHeight="1">
      <c r="A419" s="5">
        <v>0</v>
      </c>
      <c r="B419" s="6" t="s">
        <v>2577</v>
      </c>
      <c r="C419" s="7">
        <v>1372.8</v>
      </c>
      <c r="D419" s="8" t="s">
        <v>2578</v>
      </c>
      <c r="E419" s="8" t="s">
        <v>2579</v>
      </c>
      <c r="F419" s="8" t="s">
        <v>572</v>
      </c>
      <c r="G419" s="6" t="s">
        <v>38</v>
      </c>
      <c r="H419" s="6" t="s">
        <v>39</v>
      </c>
      <c r="I419" s="8" t="s">
        <v>40</v>
      </c>
      <c r="J419" s="9">
        <v>1</v>
      </c>
      <c r="K419" s="9">
        <v>209</v>
      </c>
      <c r="L419" s="9">
        <v>2026</v>
      </c>
      <c r="M419" s="8" t="s">
        <v>2580</v>
      </c>
      <c r="N419" s="8" t="s">
        <v>144</v>
      </c>
      <c r="O419" s="8" t="s">
        <v>145</v>
      </c>
      <c r="P419" s="6" t="s">
        <v>44</v>
      </c>
      <c r="Q419" s="8" t="s">
        <v>45</v>
      </c>
      <c r="R419" s="10" t="s">
        <v>2581</v>
      </c>
      <c r="S419" s="11"/>
      <c r="T419" s="6"/>
      <c r="U419" s="24" t="str">
        <f>HYPERLINK("https://media.infra-m.ru/2221/2221663/cover/2221663.jpg", "Обложка")</f>
        <v>Обложка</v>
      </c>
      <c r="V419" s="24" t="str">
        <f>HYPERLINK("https://znanium.ru/catalog/product/1168573", "Ознакомиться")</f>
        <v>Ознакомиться</v>
      </c>
      <c r="W419" s="8" t="s">
        <v>558</v>
      </c>
      <c r="X419" s="6"/>
      <c r="Y419" s="6"/>
      <c r="Z419" s="6"/>
      <c r="AA419" s="6" t="s">
        <v>129</v>
      </c>
      <c r="AB419" s="8"/>
    </row>
    <row r="420" spans="1:28" s="4" customFormat="1" ht="51.95" customHeight="1">
      <c r="A420" s="5">
        <v>0</v>
      </c>
      <c r="B420" s="6" t="s">
        <v>2582</v>
      </c>
      <c r="C420" s="7">
        <v>1140</v>
      </c>
      <c r="D420" s="8" t="s">
        <v>2583</v>
      </c>
      <c r="E420" s="8" t="s">
        <v>2584</v>
      </c>
      <c r="F420" s="8" t="s">
        <v>2585</v>
      </c>
      <c r="G420" s="6" t="s">
        <v>38</v>
      </c>
      <c r="H420" s="6" t="s">
        <v>39</v>
      </c>
      <c r="I420" s="8" t="s">
        <v>40</v>
      </c>
      <c r="J420" s="9">
        <v>1</v>
      </c>
      <c r="K420" s="9">
        <v>205</v>
      </c>
      <c r="L420" s="9">
        <v>2024</v>
      </c>
      <c r="M420" s="8" t="s">
        <v>2586</v>
      </c>
      <c r="N420" s="8" t="s">
        <v>144</v>
      </c>
      <c r="O420" s="8" t="s">
        <v>145</v>
      </c>
      <c r="P420" s="6" t="s">
        <v>44</v>
      </c>
      <c r="Q420" s="8" t="s">
        <v>45</v>
      </c>
      <c r="R420" s="10" t="s">
        <v>1296</v>
      </c>
      <c r="S420" s="11"/>
      <c r="T420" s="6"/>
      <c r="U420" s="24" t="str">
        <f>HYPERLINK("https://media.infra-m.ru/2074/2074346/cover/2074346.jpg", "Обложка")</f>
        <v>Обложка</v>
      </c>
      <c r="V420" s="24" t="str">
        <f>HYPERLINK("https://znanium.ru/catalog/product/2074346", "Ознакомиться")</f>
        <v>Ознакомиться</v>
      </c>
      <c r="W420" s="8" t="s">
        <v>2587</v>
      </c>
      <c r="X420" s="6"/>
      <c r="Y420" s="6"/>
      <c r="Z420" s="6"/>
      <c r="AA420" s="6" t="s">
        <v>138</v>
      </c>
      <c r="AB420" s="8"/>
    </row>
    <row r="421" spans="1:28" s="4" customFormat="1" ht="42" customHeight="1">
      <c r="A421" s="5">
        <v>0</v>
      </c>
      <c r="B421" s="6" t="s">
        <v>2588</v>
      </c>
      <c r="C421" s="7">
        <v>1188</v>
      </c>
      <c r="D421" s="8" t="s">
        <v>2589</v>
      </c>
      <c r="E421" s="8" t="s">
        <v>2590</v>
      </c>
      <c r="F421" s="8" t="s">
        <v>2591</v>
      </c>
      <c r="G421" s="6" t="s">
        <v>96</v>
      </c>
      <c r="H421" s="6" t="s">
        <v>39</v>
      </c>
      <c r="I421" s="8" t="s">
        <v>40</v>
      </c>
      <c r="J421" s="9">
        <v>1</v>
      </c>
      <c r="K421" s="9">
        <v>215</v>
      </c>
      <c r="L421" s="9">
        <v>2023</v>
      </c>
      <c r="M421" s="8" t="s">
        <v>2592</v>
      </c>
      <c r="N421" s="8" t="s">
        <v>144</v>
      </c>
      <c r="O421" s="8" t="s">
        <v>145</v>
      </c>
      <c r="P421" s="6" t="s">
        <v>44</v>
      </c>
      <c r="Q421" s="8" t="s">
        <v>45</v>
      </c>
      <c r="R421" s="10" t="s">
        <v>233</v>
      </c>
      <c r="S421" s="11"/>
      <c r="T421" s="6"/>
      <c r="U421" s="24" t="str">
        <f>HYPERLINK("https://media.infra-m.ru/1938/1938061/cover/1938061.jpg", "Обложка")</f>
        <v>Обложка</v>
      </c>
      <c r="V421" s="24" t="str">
        <f>HYPERLINK("https://znanium.ru/catalog/product/1938061", "Ознакомиться")</f>
        <v>Ознакомиться</v>
      </c>
      <c r="W421" s="8" t="s">
        <v>2593</v>
      </c>
      <c r="X421" s="6"/>
      <c r="Y421" s="6"/>
      <c r="Z421" s="6"/>
      <c r="AA421" s="6" t="s">
        <v>91</v>
      </c>
      <c r="AB421" s="8"/>
    </row>
    <row r="422" spans="1:28" s="4" customFormat="1" ht="51.95" customHeight="1">
      <c r="A422" s="5">
        <v>0</v>
      </c>
      <c r="B422" s="6" t="s">
        <v>2594</v>
      </c>
      <c r="C422" s="7">
        <v>1404</v>
      </c>
      <c r="D422" s="8" t="s">
        <v>2595</v>
      </c>
      <c r="E422" s="8" t="s">
        <v>2596</v>
      </c>
      <c r="F422" s="8" t="s">
        <v>2597</v>
      </c>
      <c r="G422" s="6" t="s">
        <v>62</v>
      </c>
      <c r="H422" s="6" t="s">
        <v>39</v>
      </c>
      <c r="I422" s="8" t="s">
        <v>340</v>
      </c>
      <c r="J422" s="9">
        <v>1</v>
      </c>
      <c r="K422" s="9">
        <v>224</v>
      </c>
      <c r="L422" s="9">
        <v>2025</v>
      </c>
      <c r="M422" s="8" t="s">
        <v>2598</v>
      </c>
      <c r="N422" s="8" t="s">
        <v>144</v>
      </c>
      <c r="O422" s="8" t="s">
        <v>145</v>
      </c>
      <c r="P422" s="6" t="s">
        <v>271</v>
      </c>
      <c r="Q422" s="8" t="s">
        <v>45</v>
      </c>
      <c r="R422" s="10" t="s">
        <v>2599</v>
      </c>
      <c r="S422" s="11"/>
      <c r="T422" s="6"/>
      <c r="U422" s="24" t="str">
        <f>HYPERLINK("https://media.infra-m.ru/2196/2196087/cover/2196087.jpg", "Обложка")</f>
        <v>Обложка</v>
      </c>
      <c r="V422" s="24" t="str">
        <f>HYPERLINK("https://znanium.ru/catalog/product/2196087", "Ознакомиться")</f>
        <v>Ознакомиться</v>
      </c>
      <c r="W422" s="8" t="s">
        <v>241</v>
      </c>
      <c r="X422" s="6"/>
      <c r="Y422" s="6"/>
      <c r="Z422" s="6"/>
      <c r="AA422" s="6" t="s">
        <v>227</v>
      </c>
      <c r="AB422" s="8"/>
    </row>
    <row r="423" spans="1:28" s="4" customFormat="1" ht="51.95" customHeight="1">
      <c r="A423" s="5">
        <v>0</v>
      </c>
      <c r="B423" s="6" t="s">
        <v>2600</v>
      </c>
      <c r="C423" s="7">
        <v>1248</v>
      </c>
      <c r="D423" s="8" t="s">
        <v>2601</v>
      </c>
      <c r="E423" s="8" t="s">
        <v>2602</v>
      </c>
      <c r="F423" s="8" t="s">
        <v>2603</v>
      </c>
      <c r="G423" s="6" t="s">
        <v>96</v>
      </c>
      <c r="H423" s="6" t="s">
        <v>39</v>
      </c>
      <c r="I423" s="8" t="s">
        <v>340</v>
      </c>
      <c r="J423" s="9">
        <v>1</v>
      </c>
      <c r="K423" s="9">
        <v>186</v>
      </c>
      <c r="L423" s="9">
        <v>2025</v>
      </c>
      <c r="M423" s="8" t="s">
        <v>2604</v>
      </c>
      <c r="N423" s="8" t="s">
        <v>144</v>
      </c>
      <c r="O423" s="8" t="s">
        <v>145</v>
      </c>
      <c r="P423" s="6" t="s">
        <v>271</v>
      </c>
      <c r="Q423" s="8" t="s">
        <v>180</v>
      </c>
      <c r="R423" s="10" t="s">
        <v>2605</v>
      </c>
      <c r="S423" s="11"/>
      <c r="T423" s="6"/>
      <c r="U423" s="24" t="str">
        <f>HYPERLINK("https://media.infra-m.ru/2157/2157181/cover/2157181.jpg", "Обложка")</f>
        <v>Обложка</v>
      </c>
      <c r="V423" s="24" t="str">
        <f>HYPERLINK("https://znanium.ru/catalog/product/2157181", "Ознакомиться")</f>
        <v>Ознакомиться</v>
      </c>
      <c r="W423" s="8" t="s">
        <v>615</v>
      </c>
      <c r="X423" s="6" t="s">
        <v>1077</v>
      </c>
      <c r="Y423" s="6"/>
      <c r="Z423" s="6"/>
      <c r="AA423" s="6" t="s">
        <v>360</v>
      </c>
      <c r="AB423" s="8"/>
    </row>
    <row r="424" spans="1:28" s="4" customFormat="1" ht="33" customHeight="1">
      <c r="A424" s="5">
        <v>0</v>
      </c>
      <c r="B424" s="6" t="s">
        <v>2606</v>
      </c>
      <c r="C424" s="13">
        <v>479.9</v>
      </c>
      <c r="D424" s="8" t="s">
        <v>2607</v>
      </c>
      <c r="E424" s="8" t="s">
        <v>2608</v>
      </c>
      <c r="F424" s="8" t="s">
        <v>2609</v>
      </c>
      <c r="G424" s="6"/>
      <c r="H424" s="6" t="s">
        <v>1083</v>
      </c>
      <c r="I424" s="8" t="s">
        <v>2610</v>
      </c>
      <c r="J424" s="9">
        <v>12</v>
      </c>
      <c r="K424" s="9">
        <v>384</v>
      </c>
      <c r="L424" s="9">
        <v>2008</v>
      </c>
      <c r="M424" s="8" t="s">
        <v>2611</v>
      </c>
      <c r="N424" s="8" t="s">
        <v>177</v>
      </c>
      <c r="O424" s="8" t="s">
        <v>524</v>
      </c>
      <c r="P424" s="6" t="s">
        <v>179</v>
      </c>
      <c r="Q424" s="8" t="s">
        <v>45</v>
      </c>
      <c r="R424" s="10"/>
      <c r="S424" s="11"/>
      <c r="T424" s="6"/>
      <c r="U424" s="12"/>
      <c r="V424" s="12"/>
      <c r="W424" s="8" t="s">
        <v>2612</v>
      </c>
      <c r="X424" s="6"/>
      <c r="Y424" s="6"/>
      <c r="Z424" s="6"/>
      <c r="AA424" s="6" t="s">
        <v>2613</v>
      </c>
      <c r="AB424" s="8"/>
    </row>
    <row r="425" spans="1:28" s="4" customFormat="1" ht="42" customHeight="1">
      <c r="A425" s="5">
        <v>0</v>
      </c>
      <c r="B425" s="6" t="s">
        <v>2614</v>
      </c>
      <c r="C425" s="7">
        <v>1344</v>
      </c>
      <c r="D425" s="8" t="s">
        <v>2615</v>
      </c>
      <c r="E425" s="8" t="s">
        <v>2616</v>
      </c>
      <c r="F425" s="8" t="s">
        <v>2617</v>
      </c>
      <c r="G425" s="6" t="s">
        <v>96</v>
      </c>
      <c r="H425" s="6" t="s">
        <v>39</v>
      </c>
      <c r="I425" s="8" t="s">
        <v>1529</v>
      </c>
      <c r="J425" s="9">
        <v>1</v>
      </c>
      <c r="K425" s="9">
        <v>194</v>
      </c>
      <c r="L425" s="9">
        <v>2026</v>
      </c>
      <c r="M425" s="8" t="s">
        <v>2618</v>
      </c>
      <c r="N425" s="8" t="s">
        <v>144</v>
      </c>
      <c r="O425" s="8" t="s">
        <v>145</v>
      </c>
      <c r="P425" s="6" t="s">
        <v>44</v>
      </c>
      <c r="Q425" s="8" t="s">
        <v>45</v>
      </c>
      <c r="R425" s="10" t="s">
        <v>2619</v>
      </c>
      <c r="S425" s="11"/>
      <c r="T425" s="6"/>
      <c r="U425" s="24" t="str">
        <f>HYPERLINK("https://media.infra-m.ru/2222/2222621/cover/2222621.jpg", "Обложка")</f>
        <v>Обложка</v>
      </c>
      <c r="V425" s="12"/>
      <c r="W425" s="8" t="s">
        <v>1532</v>
      </c>
      <c r="X425" s="6" t="s">
        <v>436</v>
      </c>
      <c r="Y425" s="6"/>
      <c r="Z425" s="6"/>
      <c r="AA425" s="6" t="s">
        <v>345</v>
      </c>
      <c r="AB425" s="8"/>
    </row>
    <row r="426" spans="1:28" s="4" customFormat="1" ht="42" customHeight="1">
      <c r="A426" s="5">
        <v>0</v>
      </c>
      <c r="B426" s="6" t="s">
        <v>2620</v>
      </c>
      <c r="C426" s="7">
        <v>2596.8000000000002</v>
      </c>
      <c r="D426" s="8" t="s">
        <v>2621</v>
      </c>
      <c r="E426" s="8" t="s">
        <v>2622</v>
      </c>
      <c r="F426" s="8" t="s">
        <v>2623</v>
      </c>
      <c r="G426" s="6" t="s">
        <v>38</v>
      </c>
      <c r="H426" s="6" t="s">
        <v>39</v>
      </c>
      <c r="I426" s="8" t="s">
        <v>40</v>
      </c>
      <c r="J426" s="9">
        <v>1</v>
      </c>
      <c r="K426" s="9">
        <v>430</v>
      </c>
      <c r="L426" s="9">
        <v>2025</v>
      </c>
      <c r="M426" s="8" t="s">
        <v>2624</v>
      </c>
      <c r="N426" s="8" t="s">
        <v>42</v>
      </c>
      <c r="O426" s="8" t="s">
        <v>43</v>
      </c>
      <c r="P426" s="6" t="s">
        <v>44</v>
      </c>
      <c r="Q426" s="8" t="s">
        <v>45</v>
      </c>
      <c r="R426" s="10" t="s">
        <v>518</v>
      </c>
      <c r="S426" s="11"/>
      <c r="T426" s="6"/>
      <c r="U426" s="24" t="str">
        <f>HYPERLINK("https://media.infra-m.ru/2170/2170937/cover/2170937.jpg", "Обложка")</f>
        <v>Обложка</v>
      </c>
      <c r="V426" s="24" t="str">
        <f>HYPERLINK("https://znanium.ru/catalog/product/2169308", "Ознакомиться")</f>
        <v>Ознакомиться</v>
      </c>
      <c r="W426" s="8" t="s">
        <v>929</v>
      </c>
      <c r="X426" s="6"/>
      <c r="Y426" s="6"/>
      <c r="Z426" s="6"/>
      <c r="AA426" s="6" t="s">
        <v>129</v>
      </c>
      <c r="AB426" s="8"/>
    </row>
    <row r="427" spans="1:28" s="4" customFormat="1" ht="51.95" customHeight="1">
      <c r="A427" s="5">
        <v>0</v>
      </c>
      <c r="B427" s="6" t="s">
        <v>2625</v>
      </c>
      <c r="C427" s="13">
        <v>353.9</v>
      </c>
      <c r="D427" s="8" t="s">
        <v>2626</v>
      </c>
      <c r="E427" s="8" t="s">
        <v>2627</v>
      </c>
      <c r="F427" s="8" t="s">
        <v>2628</v>
      </c>
      <c r="G427" s="6" t="s">
        <v>38</v>
      </c>
      <c r="H427" s="6" t="s">
        <v>167</v>
      </c>
      <c r="I427" s="8"/>
      <c r="J427" s="9">
        <v>1</v>
      </c>
      <c r="K427" s="9">
        <v>112</v>
      </c>
      <c r="L427" s="9">
        <v>2018</v>
      </c>
      <c r="M427" s="8" t="s">
        <v>2629</v>
      </c>
      <c r="N427" s="8" t="s">
        <v>42</v>
      </c>
      <c r="O427" s="8" t="s">
        <v>72</v>
      </c>
      <c r="P427" s="6" t="s">
        <v>44</v>
      </c>
      <c r="Q427" s="8" t="s">
        <v>45</v>
      </c>
      <c r="R427" s="10" t="s">
        <v>2630</v>
      </c>
      <c r="S427" s="11"/>
      <c r="T427" s="6"/>
      <c r="U427" s="24" t="str">
        <f>HYPERLINK("https://media.infra-m.ru/0969/0969941/cover/969941.jpg", "Обложка")</f>
        <v>Обложка</v>
      </c>
      <c r="V427" s="24" t="str">
        <f>HYPERLINK("https://znanium.ru/catalog/product/2169238", "Ознакомиться")</f>
        <v>Ознакомиться</v>
      </c>
      <c r="W427" s="8" t="s">
        <v>708</v>
      </c>
      <c r="X427" s="6"/>
      <c r="Y427" s="6"/>
      <c r="Z427" s="6"/>
      <c r="AA427" s="6" t="s">
        <v>273</v>
      </c>
      <c r="AB427" s="8"/>
    </row>
    <row r="428" spans="1:28" s="4" customFormat="1" ht="51.95" customHeight="1">
      <c r="A428" s="5">
        <v>0</v>
      </c>
      <c r="B428" s="6" t="s">
        <v>2631</v>
      </c>
      <c r="C428" s="13">
        <v>672</v>
      </c>
      <c r="D428" s="8" t="s">
        <v>2632</v>
      </c>
      <c r="E428" s="8" t="s">
        <v>2633</v>
      </c>
      <c r="F428" s="8" t="s">
        <v>706</v>
      </c>
      <c r="G428" s="6" t="s">
        <v>38</v>
      </c>
      <c r="H428" s="6" t="s">
        <v>167</v>
      </c>
      <c r="I428" s="8"/>
      <c r="J428" s="9">
        <v>1</v>
      </c>
      <c r="K428" s="9">
        <v>112</v>
      </c>
      <c r="L428" s="9">
        <v>2025</v>
      </c>
      <c r="M428" s="8" t="s">
        <v>2629</v>
      </c>
      <c r="N428" s="8" t="s">
        <v>42</v>
      </c>
      <c r="O428" s="8" t="s">
        <v>72</v>
      </c>
      <c r="P428" s="6" t="s">
        <v>44</v>
      </c>
      <c r="Q428" s="8" t="s">
        <v>45</v>
      </c>
      <c r="R428" s="10" t="s">
        <v>2630</v>
      </c>
      <c r="S428" s="11"/>
      <c r="T428" s="6"/>
      <c r="U428" s="24" t="str">
        <f>HYPERLINK("https://media.infra-m.ru/2169/2169238/cover/2169238.jpg", "Обложка")</f>
        <v>Обложка</v>
      </c>
      <c r="V428" s="24" t="str">
        <f>HYPERLINK("https://znanium.ru/catalog/product/2169238", "Ознакомиться")</f>
        <v>Ознакомиться</v>
      </c>
      <c r="W428" s="8" t="s">
        <v>708</v>
      </c>
      <c r="X428" s="6"/>
      <c r="Y428" s="6"/>
      <c r="Z428" s="6"/>
      <c r="AA428" s="6" t="s">
        <v>545</v>
      </c>
      <c r="AB428" s="8"/>
    </row>
    <row r="429" spans="1:28" s="4" customFormat="1" ht="42" customHeight="1">
      <c r="A429" s="5">
        <v>0</v>
      </c>
      <c r="B429" s="6" t="s">
        <v>2634</v>
      </c>
      <c r="C429" s="7">
        <v>1248</v>
      </c>
      <c r="D429" s="8" t="s">
        <v>2635</v>
      </c>
      <c r="E429" s="8" t="s">
        <v>2636</v>
      </c>
      <c r="F429" s="8" t="s">
        <v>2637</v>
      </c>
      <c r="G429" s="6" t="s">
        <v>96</v>
      </c>
      <c r="H429" s="6" t="s">
        <v>39</v>
      </c>
      <c r="I429" s="8" t="s">
        <v>152</v>
      </c>
      <c r="J429" s="9">
        <v>1</v>
      </c>
      <c r="K429" s="9">
        <v>196</v>
      </c>
      <c r="L429" s="9">
        <v>2025</v>
      </c>
      <c r="M429" s="8" t="s">
        <v>2638</v>
      </c>
      <c r="N429" s="8" t="s">
        <v>177</v>
      </c>
      <c r="O429" s="8" t="s">
        <v>2639</v>
      </c>
      <c r="P429" s="6" t="s">
        <v>179</v>
      </c>
      <c r="Q429" s="8" t="s">
        <v>180</v>
      </c>
      <c r="R429" s="10" t="s">
        <v>2640</v>
      </c>
      <c r="S429" s="11"/>
      <c r="T429" s="6"/>
      <c r="U429" s="24" t="str">
        <f>HYPERLINK("https://media.infra-m.ru/2173/2173835/cover/2173835.jpg", "Обложка")</f>
        <v>Обложка</v>
      </c>
      <c r="V429" s="24" t="str">
        <f>HYPERLINK("https://znanium.ru/catalog/product/2173835", "Ознакомиться")</f>
        <v>Ознакомиться</v>
      </c>
      <c r="W429" s="8" t="s">
        <v>2641</v>
      </c>
      <c r="X429" s="6" t="s">
        <v>1044</v>
      </c>
      <c r="Y429" s="6"/>
      <c r="Z429" s="6"/>
      <c r="AA429" s="6" t="s">
        <v>360</v>
      </c>
      <c r="AB429" s="8"/>
    </row>
    <row r="430" spans="1:28" s="4" customFormat="1" ht="51.95" customHeight="1">
      <c r="A430" s="5">
        <v>0</v>
      </c>
      <c r="B430" s="6" t="s">
        <v>2642</v>
      </c>
      <c r="C430" s="7">
        <v>1560</v>
      </c>
      <c r="D430" s="8" t="s">
        <v>2643</v>
      </c>
      <c r="E430" s="8" t="s">
        <v>2644</v>
      </c>
      <c r="F430" s="8" t="s">
        <v>2637</v>
      </c>
      <c r="G430" s="6" t="s">
        <v>96</v>
      </c>
      <c r="H430" s="6" t="s">
        <v>39</v>
      </c>
      <c r="I430" s="8" t="s">
        <v>152</v>
      </c>
      <c r="J430" s="9">
        <v>1</v>
      </c>
      <c r="K430" s="9">
        <v>285</v>
      </c>
      <c r="L430" s="9">
        <v>2023</v>
      </c>
      <c r="M430" s="8" t="s">
        <v>2645</v>
      </c>
      <c r="N430" s="8" t="s">
        <v>177</v>
      </c>
      <c r="O430" s="8" t="s">
        <v>2639</v>
      </c>
      <c r="P430" s="6" t="s">
        <v>179</v>
      </c>
      <c r="Q430" s="8" t="s">
        <v>180</v>
      </c>
      <c r="R430" s="10" t="s">
        <v>2646</v>
      </c>
      <c r="S430" s="11"/>
      <c r="T430" s="6"/>
      <c r="U430" s="24" t="str">
        <f>HYPERLINK("https://media.infra-m.ru/1918/1918490/cover/1918490.jpg", "Обложка")</f>
        <v>Обложка</v>
      </c>
      <c r="V430" s="24" t="str">
        <f>HYPERLINK("https://znanium.ru/catalog/product/1918490", "Ознакомиться")</f>
        <v>Ознакомиться</v>
      </c>
      <c r="W430" s="8" t="s">
        <v>2641</v>
      </c>
      <c r="X430" s="6"/>
      <c r="Y430" s="6"/>
      <c r="Z430" s="6"/>
      <c r="AA430" s="6" t="s">
        <v>91</v>
      </c>
      <c r="AB430" s="8"/>
    </row>
    <row r="431" spans="1:28" s="4" customFormat="1" ht="44.1" customHeight="1">
      <c r="A431" s="5">
        <v>0</v>
      </c>
      <c r="B431" s="6" t="s">
        <v>2647</v>
      </c>
      <c r="C431" s="13">
        <v>972</v>
      </c>
      <c r="D431" s="8" t="s">
        <v>2648</v>
      </c>
      <c r="E431" s="8" t="s">
        <v>2649</v>
      </c>
      <c r="F431" s="8" t="s">
        <v>2637</v>
      </c>
      <c r="G431" s="6" t="s">
        <v>96</v>
      </c>
      <c r="H431" s="6" t="s">
        <v>39</v>
      </c>
      <c r="I431" s="8"/>
      <c r="J431" s="9">
        <v>1</v>
      </c>
      <c r="K431" s="9">
        <v>178</v>
      </c>
      <c r="L431" s="9">
        <v>2023</v>
      </c>
      <c r="M431" s="8" t="s">
        <v>2650</v>
      </c>
      <c r="N431" s="8" t="s">
        <v>177</v>
      </c>
      <c r="O431" s="8" t="s">
        <v>2639</v>
      </c>
      <c r="P431" s="6" t="s">
        <v>179</v>
      </c>
      <c r="Q431" s="8" t="s">
        <v>180</v>
      </c>
      <c r="R431" s="10" t="s">
        <v>2651</v>
      </c>
      <c r="S431" s="11"/>
      <c r="T431" s="6"/>
      <c r="U431" s="24" t="str">
        <f>HYPERLINK("https://media.infra-m.ru/1939/1939108/cover/1939108.jpg", "Обложка")</f>
        <v>Обложка</v>
      </c>
      <c r="V431" s="24" t="str">
        <f>HYPERLINK("https://znanium.ru/catalog/product/1939108", "Ознакомиться")</f>
        <v>Ознакомиться</v>
      </c>
      <c r="W431" s="8" t="s">
        <v>2641</v>
      </c>
      <c r="X431" s="6"/>
      <c r="Y431" s="6"/>
      <c r="Z431" s="6"/>
      <c r="AA431" s="6" t="s">
        <v>91</v>
      </c>
      <c r="AB431" s="8"/>
    </row>
    <row r="432" spans="1:28" s="4" customFormat="1" ht="51.95" customHeight="1">
      <c r="A432" s="5">
        <v>0</v>
      </c>
      <c r="B432" s="6" t="s">
        <v>2652</v>
      </c>
      <c r="C432" s="7">
        <v>1308</v>
      </c>
      <c r="D432" s="8" t="s">
        <v>2653</v>
      </c>
      <c r="E432" s="8" t="s">
        <v>2654</v>
      </c>
      <c r="F432" s="8" t="s">
        <v>2637</v>
      </c>
      <c r="G432" s="6" t="s">
        <v>62</v>
      </c>
      <c r="H432" s="6" t="s">
        <v>39</v>
      </c>
      <c r="I432" s="8" t="s">
        <v>152</v>
      </c>
      <c r="J432" s="9">
        <v>1</v>
      </c>
      <c r="K432" s="9">
        <v>238</v>
      </c>
      <c r="L432" s="9">
        <v>2024</v>
      </c>
      <c r="M432" s="8" t="s">
        <v>2655</v>
      </c>
      <c r="N432" s="8" t="s">
        <v>177</v>
      </c>
      <c r="O432" s="8" t="s">
        <v>2639</v>
      </c>
      <c r="P432" s="6" t="s">
        <v>179</v>
      </c>
      <c r="Q432" s="8" t="s">
        <v>180</v>
      </c>
      <c r="R432" s="10" t="s">
        <v>2656</v>
      </c>
      <c r="S432" s="11"/>
      <c r="T432" s="6"/>
      <c r="U432" s="24" t="str">
        <f>HYPERLINK("https://media.infra-m.ru/1921/1921397/cover/1921397.jpg", "Обложка")</f>
        <v>Обложка</v>
      </c>
      <c r="V432" s="24" t="str">
        <f>HYPERLINK("https://znanium.ru/catalog/product/1843565", "Ознакомиться")</f>
        <v>Ознакомиться</v>
      </c>
      <c r="W432" s="8" t="s">
        <v>2641</v>
      </c>
      <c r="X432" s="6"/>
      <c r="Y432" s="6"/>
      <c r="Z432" s="6"/>
      <c r="AA432" s="6" t="s">
        <v>57</v>
      </c>
      <c r="AB432" s="8"/>
    </row>
    <row r="433" spans="1:28" s="4" customFormat="1" ht="51.95" customHeight="1">
      <c r="A433" s="5">
        <v>0</v>
      </c>
      <c r="B433" s="6" t="s">
        <v>2657</v>
      </c>
      <c r="C433" s="7">
        <v>1860</v>
      </c>
      <c r="D433" s="8" t="s">
        <v>2658</v>
      </c>
      <c r="E433" s="8" t="s">
        <v>2659</v>
      </c>
      <c r="F433" s="8" t="s">
        <v>2660</v>
      </c>
      <c r="G433" s="6" t="s">
        <v>96</v>
      </c>
      <c r="H433" s="6" t="s">
        <v>39</v>
      </c>
      <c r="I433" s="8" t="s">
        <v>40</v>
      </c>
      <c r="J433" s="9">
        <v>1</v>
      </c>
      <c r="K433" s="9">
        <v>330</v>
      </c>
      <c r="L433" s="9">
        <v>2024</v>
      </c>
      <c r="M433" s="8" t="s">
        <v>2661</v>
      </c>
      <c r="N433" s="8" t="s">
        <v>42</v>
      </c>
      <c r="O433" s="8" t="s">
        <v>43</v>
      </c>
      <c r="P433" s="6" t="s">
        <v>44</v>
      </c>
      <c r="Q433" s="8" t="s">
        <v>45</v>
      </c>
      <c r="R433" s="10" t="s">
        <v>2662</v>
      </c>
      <c r="S433" s="11"/>
      <c r="T433" s="6"/>
      <c r="U433" s="24" t="str">
        <f>HYPERLINK("https://media.infra-m.ru/1986/1986683/cover/1986683.jpg", "Обложка")</f>
        <v>Обложка</v>
      </c>
      <c r="V433" s="24" t="str">
        <f>HYPERLINK("https://znanium.ru/catalog/product/1986683", "Ознакомиться")</f>
        <v>Ознакомиться</v>
      </c>
      <c r="W433" s="8" t="s">
        <v>156</v>
      </c>
      <c r="X433" s="6"/>
      <c r="Y433" s="6"/>
      <c r="Z433" s="6"/>
      <c r="AA433" s="6" t="s">
        <v>48</v>
      </c>
      <c r="AB433" s="8"/>
    </row>
    <row r="434" spans="1:28" s="4" customFormat="1" ht="51.95" customHeight="1">
      <c r="A434" s="5">
        <v>0</v>
      </c>
      <c r="B434" s="6" t="s">
        <v>2663</v>
      </c>
      <c r="C434" s="7">
        <v>1044</v>
      </c>
      <c r="D434" s="8" t="s">
        <v>2664</v>
      </c>
      <c r="E434" s="8" t="s">
        <v>2665</v>
      </c>
      <c r="F434" s="8" t="s">
        <v>2666</v>
      </c>
      <c r="G434" s="6" t="s">
        <v>38</v>
      </c>
      <c r="H434" s="6" t="s">
        <v>39</v>
      </c>
      <c r="I434" s="8" t="s">
        <v>40</v>
      </c>
      <c r="J434" s="9">
        <v>1</v>
      </c>
      <c r="K434" s="9">
        <v>184</v>
      </c>
      <c r="L434" s="9">
        <v>2024</v>
      </c>
      <c r="M434" s="8" t="s">
        <v>2667</v>
      </c>
      <c r="N434" s="8" t="s">
        <v>42</v>
      </c>
      <c r="O434" s="8" t="s">
        <v>43</v>
      </c>
      <c r="P434" s="6" t="s">
        <v>44</v>
      </c>
      <c r="Q434" s="8" t="s">
        <v>45</v>
      </c>
      <c r="R434" s="10" t="s">
        <v>2668</v>
      </c>
      <c r="S434" s="11"/>
      <c r="T434" s="6"/>
      <c r="U434" s="24" t="str">
        <f>HYPERLINK("https://media.infra-m.ru/2149/2149631/cover/2149631.jpg", "Обложка")</f>
        <v>Обложка</v>
      </c>
      <c r="V434" s="24" t="str">
        <f>HYPERLINK("https://znanium.ru/catalog/product/2149631", "Ознакомиться")</f>
        <v>Ознакомиться</v>
      </c>
      <c r="W434" s="8" t="s">
        <v>2669</v>
      </c>
      <c r="X434" s="6"/>
      <c r="Y434" s="6"/>
      <c r="Z434" s="6"/>
      <c r="AA434" s="6" t="s">
        <v>138</v>
      </c>
      <c r="AB434" s="8" t="s">
        <v>2670</v>
      </c>
    </row>
    <row r="435" spans="1:28" s="4" customFormat="1" ht="42" customHeight="1">
      <c r="A435" s="5">
        <v>0</v>
      </c>
      <c r="B435" s="6" t="s">
        <v>2671</v>
      </c>
      <c r="C435" s="13">
        <v>916.8</v>
      </c>
      <c r="D435" s="8" t="s">
        <v>2672</v>
      </c>
      <c r="E435" s="8" t="s">
        <v>2673</v>
      </c>
      <c r="F435" s="8" t="s">
        <v>2674</v>
      </c>
      <c r="G435" s="6" t="s">
        <v>38</v>
      </c>
      <c r="H435" s="6" t="s">
        <v>531</v>
      </c>
      <c r="I435" s="8" t="s">
        <v>531</v>
      </c>
      <c r="J435" s="9">
        <v>1</v>
      </c>
      <c r="K435" s="9">
        <v>160</v>
      </c>
      <c r="L435" s="9">
        <v>2024</v>
      </c>
      <c r="M435" s="8" t="s">
        <v>2675</v>
      </c>
      <c r="N435" s="8" t="s">
        <v>119</v>
      </c>
      <c r="O435" s="8" t="s">
        <v>458</v>
      </c>
      <c r="P435" s="6" t="s">
        <v>459</v>
      </c>
      <c r="Q435" s="8" t="s">
        <v>200</v>
      </c>
      <c r="R435" s="10" t="s">
        <v>2676</v>
      </c>
      <c r="S435" s="11"/>
      <c r="T435" s="6"/>
      <c r="U435" s="24" t="str">
        <f>HYPERLINK("https://media.infra-m.ru/2156/2156795/cover/2156795.jpg", "Обложка")</f>
        <v>Обложка</v>
      </c>
      <c r="V435" s="24" t="str">
        <f>HYPERLINK("https://znanium.ru/catalog/product/2079695", "Ознакомиться")</f>
        <v>Ознакомиться</v>
      </c>
      <c r="W435" s="8" t="s">
        <v>1128</v>
      </c>
      <c r="X435" s="6"/>
      <c r="Y435" s="6"/>
      <c r="Z435" s="6"/>
      <c r="AA435" s="6" t="s">
        <v>300</v>
      </c>
      <c r="AB435" s="8"/>
    </row>
    <row r="436" spans="1:28" s="4" customFormat="1" ht="51.95" customHeight="1">
      <c r="A436" s="5">
        <v>0</v>
      </c>
      <c r="B436" s="6" t="s">
        <v>2677</v>
      </c>
      <c r="C436" s="13">
        <v>876</v>
      </c>
      <c r="D436" s="8" t="s">
        <v>2678</v>
      </c>
      <c r="E436" s="8" t="s">
        <v>2679</v>
      </c>
      <c r="F436" s="8" t="s">
        <v>2680</v>
      </c>
      <c r="G436" s="6" t="s">
        <v>38</v>
      </c>
      <c r="H436" s="6" t="s">
        <v>39</v>
      </c>
      <c r="I436" s="8" t="s">
        <v>40</v>
      </c>
      <c r="J436" s="9">
        <v>1</v>
      </c>
      <c r="K436" s="9">
        <v>157</v>
      </c>
      <c r="L436" s="9">
        <v>2024</v>
      </c>
      <c r="M436" s="8" t="s">
        <v>2681</v>
      </c>
      <c r="N436" s="8" t="s">
        <v>144</v>
      </c>
      <c r="O436" s="8" t="s">
        <v>145</v>
      </c>
      <c r="P436" s="6" t="s">
        <v>44</v>
      </c>
      <c r="Q436" s="8" t="s">
        <v>45</v>
      </c>
      <c r="R436" s="10" t="s">
        <v>2682</v>
      </c>
      <c r="S436" s="11"/>
      <c r="T436" s="6"/>
      <c r="U436" s="24" t="str">
        <f>HYPERLINK("https://media.infra-m.ru/2100/2100994/cover/2100994.jpg", "Обложка")</f>
        <v>Обложка</v>
      </c>
      <c r="V436" s="24" t="str">
        <f>HYPERLINK("https://znanium.ru/catalog/product/2100994", "Ознакомиться")</f>
        <v>Ознакомиться</v>
      </c>
      <c r="W436" s="8" t="s">
        <v>1022</v>
      </c>
      <c r="X436" s="6"/>
      <c r="Y436" s="6"/>
      <c r="Z436" s="6"/>
      <c r="AA436" s="6" t="s">
        <v>227</v>
      </c>
      <c r="AB436" s="8"/>
    </row>
    <row r="437" spans="1:28" s="4" customFormat="1" ht="42" customHeight="1">
      <c r="A437" s="5">
        <v>0</v>
      </c>
      <c r="B437" s="6" t="s">
        <v>2683</v>
      </c>
      <c r="C437" s="7">
        <v>2004</v>
      </c>
      <c r="D437" s="8" t="s">
        <v>2684</v>
      </c>
      <c r="E437" s="8" t="s">
        <v>2685</v>
      </c>
      <c r="F437" s="8" t="s">
        <v>2686</v>
      </c>
      <c r="G437" s="6" t="s">
        <v>96</v>
      </c>
      <c r="H437" s="6" t="s">
        <v>39</v>
      </c>
      <c r="I437" s="8" t="s">
        <v>40</v>
      </c>
      <c r="J437" s="9">
        <v>1</v>
      </c>
      <c r="K437" s="9">
        <v>356</v>
      </c>
      <c r="L437" s="9">
        <v>2024</v>
      </c>
      <c r="M437" s="8" t="s">
        <v>2687</v>
      </c>
      <c r="N437" s="8" t="s">
        <v>42</v>
      </c>
      <c r="O437" s="8" t="s">
        <v>43</v>
      </c>
      <c r="P437" s="6" t="s">
        <v>44</v>
      </c>
      <c r="Q437" s="8" t="s">
        <v>45</v>
      </c>
      <c r="R437" s="10" t="s">
        <v>2688</v>
      </c>
      <c r="S437" s="11"/>
      <c r="T437" s="6"/>
      <c r="U437" s="24" t="str">
        <f>HYPERLINK("https://media.infra-m.ru/2079/2079783/cover/2079783.jpg", "Обложка")</f>
        <v>Обложка</v>
      </c>
      <c r="V437" s="24" t="str">
        <f>HYPERLINK("https://znanium.ru/catalog/product/2079783", "Ознакомиться")</f>
        <v>Ознакомиться</v>
      </c>
      <c r="W437" s="8" t="s">
        <v>56</v>
      </c>
      <c r="X437" s="6"/>
      <c r="Y437" s="6"/>
      <c r="Z437" s="6"/>
      <c r="AA437" s="6" t="s">
        <v>48</v>
      </c>
      <c r="AB437" s="8"/>
    </row>
    <row r="438" spans="1:28" s="4" customFormat="1" ht="51.95" customHeight="1">
      <c r="A438" s="5">
        <v>0</v>
      </c>
      <c r="B438" s="6" t="s">
        <v>2689</v>
      </c>
      <c r="C438" s="7">
        <v>1728</v>
      </c>
      <c r="D438" s="8" t="s">
        <v>2690</v>
      </c>
      <c r="E438" s="8" t="s">
        <v>2691</v>
      </c>
      <c r="F438" s="8" t="s">
        <v>2692</v>
      </c>
      <c r="G438" s="6" t="s">
        <v>62</v>
      </c>
      <c r="H438" s="6" t="s">
        <v>167</v>
      </c>
      <c r="I438" s="8"/>
      <c r="J438" s="9">
        <v>1</v>
      </c>
      <c r="K438" s="9">
        <v>320</v>
      </c>
      <c r="L438" s="9">
        <v>2023</v>
      </c>
      <c r="M438" s="8" t="s">
        <v>2693</v>
      </c>
      <c r="N438" s="8" t="s">
        <v>119</v>
      </c>
      <c r="O438" s="8" t="s">
        <v>120</v>
      </c>
      <c r="P438" s="6" t="s">
        <v>248</v>
      </c>
      <c r="Q438" s="8" t="s">
        <v>45</v>
      </c>
      <c r="R438" s="10" t="s">
        <v>2694</v>
      </c>
      <c r="S438" s="11"/>
      <c r="T438" s="6"/>
      <c r="U438" s="24" t="str">
        <f>HYPERLINK("https://media.infra-m.ru/1898/1898756/cover/1898756.jpg", "Обложка")</f>
        <v>Обложка</v>
      </c>
      <c r="V438" s="24" t="str">
        <f>HYPERLINK("https://znanium.ru/catalog/product/1898756", "Ознакомиться")</f>
        <v>Ознакомиться</v>
      </c>
      <c r="W438" s="8" t="s">
        <v>202</v>
      </c>
      <c r="X438" s="6"/>
      <c r="Y438" s="6"/>
      <c r="Z438" s="6"/>
      <c r="AA438" s="6" t="s">
        <v>129</v>
      </c>
      <c r="AB438" s="8"/>
    </row>
    <row r="439" spans="1:28" s="4" customFormat="1" ht="42" customHeight="1">
      <c r="A439" s="5">
        <v>0</v>
      </c>
      <c r="B439" s="6" t="s">
        <v>2695</v>
      </c>
      <c r="C439" s="7">
        <v>1752</v>
      </c>
      <c r="D439" s="8" t="s">
        <v>2696</v>
      </c>
      <c r="E439" s="8" t="s">
        <v>2697</v>
      </c>
      <c r="F439" s="8" t="s">
        <v>2698</v>
      </c>
      <c r="G439" s="6" t="s">
        <v>38</v>
      </c>
      <c r="H439" s="6" t="s">
        <v>39</v>
      </c>
      <c r="I439" s="8" t="s">
        <v>40</v>
      </c>
      <c r="J439" s="9">
        <v>1</v>
      </c>
      <c r="K439" s="9">
        <v>318</v>
      </c>
      <c r="L439" s="9">
        <v>2024</v>
      </c>
      <c r="M439" s="8" t="s">
        <v>2699</v>
      </c>
      <c r="N439" s="8" t="s">
        <v>119</v>
      </c>
      <c r="O439" s="8" t="s">
        <v>270</v>
      </c>
      <c r="P439" s="6" t="s">
        <v>248</v>
      </c>
      <c r="Q439" s="8" t="s">
        <v>45</v>
      </c>
      <c r="R439" s="10" t="s">
        <v>2700</v>
      </c>
      <c r="S439" s="11"/>
      <c r="T439" s="6"/>
      <c r="U439" s="24" t="str">
        <f>HYPERLINK("https://media.infra-m.ru/2094/2094519/cover/2094519.jpg", "Обложка")</f>
        <v>Обложка</v>
      </c>
      <c r="V439" s="24" t="str">
        <f>HYPERLINK("https://znanium.ru/catalog/product/2094519", "Ознакомиться")</f>
        <v>Ознакомиться</v>
      </c>
      <c r="W439" s="8" t="s">
        <v>358</v>
      </c>
      <c r="X439" s="6"/>
      <c r="Y439" s="6"/>
      <c r="Z439" s="6"/>
      <c r="AA439" s="6" t="s">
        <v>273</v>
      </c>
      <c r="AB439" s="8"/>
    </row>
    <row r="440" spans="1:28" s="4" customFormat="1" ht="51.95" customHeight="1">
      <c r="A440" s="5">
        <v>0</v>
      </c>
      <c r="B440" s="6" t="s">
        <v>2701</v>
      </c>
      <c r="C440" s="13">
        <v>928.8</v>
      </c>
      <c r="D440" s="8" t="s">
        <v>2702</v>
      </c>
      <c r="E440" s="8" t="s">
        <v>2703</v>
      </c>
      <c r="F440" s="8" t="s">
        <v>2704</v>
      </c>
      <c r="G440" s="6" t="s">
        <v>38</v>
      </c>
      <c r="H440" s="6" t="s">
        <v>39</v>
      </c>
      <c r="I440" s="8" t="s">
        <v>40</v>
      </c>
      <c r="J440" s="9">
        <v>1</v>
      </c>
      <c r="K440" s="9">
        <v>155</v>
      </c>
      <c r="L440" s="9">
        <v>2024</v>
      </c>
      <c r="M440" s="8" t="s">
        <v>2705</v>
      </c>
      <c r="N440" s="8" t="s">
        <v>42</v>
      </c>
      <c r="O440" s="8" t="s">
        <v>43</v>
      </c>
      <c r="P440" s="6" t="s">
        <v>44</v>
      </c>
      <c r="Q440" s="8" t="s">
        <v>45</v>
      </c>
      <c r="R440" s="10" t="s">
        <v>2706</v>
      </c>
      <c r="S440" s="11"/>
      <c r="T440" s="6"/>
      <c r="U440" s="24" t="str">
        <f>HYPERLINK("https://media.infra-m.ru/2156/2156836/cover/2156836.jpg", "Обложка")</f>
        <v>Обложка</v>
      </c>
      <c r="V440" s="24" t="str">
        <f>HYPERLINK("https://znanium.ru/catalog/product/1920305", "Ознакомиться")</f>
        <v>Ознакомиться</v>
      </c>
      <c r="W440" s="8" t="s">
        <v>768</v>
      </c>
      <c r="X440" s="6"/>
      <c r="Y440" s="6"/>
      <c r="Z440" s="6"/>
      <c r="AA440" s="6" t="s">
        <v>1167</v>
      </c>
      <c r="AB440" s="8"/>
    </row>
    <row r="441" spans="1:28" s="4" customFormat="1" ht="51.95" customHeight="1">
      <c r="A441" s="5">
        <v>0</v>
      </c>
      <c r="B441" s="6" t="s">
        <v>2707</v>
      </c>
      <c r="C441" s="13">
        <v>492</v>
      </c>
      <c r="D441" s="8" t="s">
        <v>2708</v>
      </c>
      <c r="E441" s="8" t="s">
        <v>2709</v>
      </c>
      <c r="F441" s="8" t="s">
        <v>2710</v>
      </c>
      <c r="G441" s="6" t="s">
        <v>38</v>
      </c>
      <c r="H441" s="6" t="s">
        <v>39</v>
      </c>
      <c r="I441" s="8" t="s">
        <v>40</v>
      </c>
      <c r="J441" s="9">
        <v>1</v>
      </c>
      <c r="K441" s="9">
        <v>90</v>
      </c>
      <c r="L441" s="9">
        <v>2022</v>
      </c>
      <c r="M441" s="8" t="s">
        <v>2711</v>
      </c>
      <c r="N441" s="8" t="s">
        <v>42</v>
      </c>
      <c r="O441" s="8" t="s">
        <v>43</v>
      </c>
      <c r="P441" s="6" t="s">
        <v>44</v>
      </c>
      <c r="Q441" s="8" t="s">
        <v>45</v>
      </c>
      <c r="R441" s="10" t="s">
        <v>2706</v>
      </c>
      <c r="S441" s="11"/>
      <c r="T441" s="6"/>
      <c r="U441" s="24" t="str">
        <f>HYPERLINK("https://media.infra-m.ru/1862/1862650/cover/1862650.jpg", "Обложка")</f>
        <v>Обложка</v>
      </c>
      <c r="V441" s="24" t="str">
        <f>HYPERLINK("https://znanium.ru/catalog/product/1920305", "Ознакомиться")</f>
        <v>Ознакомиться</v>
      </c>
      <c r="W441" s="8" t="s">
        <v>768</v>
      </c>
      <c r="X441" s="6"/>
      <c r="Y441" s="6"/>
      <c r="Z441" s="6"/>
      <c r="AA441" s="6" t="s">
        <v>470</v>
      </c>
      <c r="AB441" s="8"/>
    </row>
    <row r="442" spans="1:28" s="4" customFormat="1" ht="42" customHeight="1">
      <c r="A442" s="5">
        <v>0</v>
      </c>
      <c r="B442" s="6" t="s">
        <v>2712</v>
      </c>
      <c r="C442" s="13">
        <v>624</v>
      </c>
      <c r="D442" s="8" t="s">
        <v>2713</v>
      </c>
      <c r="E442" s="8" t="s">
        <v>2714</v>
      </c>
      <c r="F442" s="8" t="s">
        <v>627</v>
      </c>
      <c r="G442" s="6" t="s">
        <v>38</v>
      </c>
      <c r="H442" s="6" t="s">
        <v>39</v>
      </c>
      <c r="I442" s="8" t="s">
        <v>629</v>
      </c>
      <c r="J442" s="9">
        <v>1</v>
      </c>
      <c r="K442" s="9">
        <v>104</v>
      </c>
      <c r="L442" s="9">
        <v>2024</v>
      </c>
      <c r="M442" s="8" t="s">
        <v>2715</v>
      </c>
      <c r="N442" s="8" t="s">
        <v>119</v>
      </c>
      <c r="O442" s="8" t="s">
        <v>120</v>
      </c>
      <c r="P442" s="6" t="s">
        <v>631</v>
      </c>
      <c r="Q442" s="8" t="s">
        <v>45</v>
      </c>
      <c r="R442" s="10" t="s">
        <v>2716</v>
      </c>
      <c r="S442" s="11"/>
      <c r="T442" s="6"/>
      <c r="U442" s="24" t="str">
        <f>HYPERLINK("https://media.infra-m.ru/2177/2177684/cover/2177684.jpg", "Обложка")</f>
        <v>Обложка</v>
      </c>
      <c r="V442" s="24" t="str">
        <f>HYPERLINK("https://znanium.ru/catalog/product/2200870", "Ознакомиться")</f>
        <v>Ознакомиться</v>
      </c>
      <c r="W442" s="8"/>
      <c r="X442" s="6"/>
      <c r="Y442" s="6"/>
      <c r="Z442" s="6"/>
      <c r="AA442" s="6" t="s">
        <v>2717</v>
      </c>
      <c r="AB442" s="8"/>
    </row>
    <row r="443" spans="1:28" s="4" customFormat="1" ht="42" customHeight="1">
      <c r="A443" s="5">
        <v>0</v>
      </c>
      <c r="B443" s="6" t="s">
        <v>2718</v>
      </c>
      <c r="C443" s="13">
        <v>660</v>
      </c>
      <c r="D443" s="8" t="s">
        <v>2719</v>
      </c>
      <c r="E443" s="8" t="s">
        <v>2720</v>
      </c>
      <c r="F443" s="8" t="s">
        <v>627</v>
      </c>
      <c r="G443" s="6" t="s">
        <v>38</v>
      </c>
      <c r="H443" s="6" t="s">
        <v>39</v>
      </c>
      <c r="I443" s="8" t="s">
        <v>629</v>
      </c>
      <c r="J443" s="9">
        <v>1</v>
      </c>
      <c r="K443" s="9">
        <v>104</v>
      </c>
      <c r="L443" s="9">
        <v>2025</v>
      </c>
      <c r="M443" s="8" t="s">
        <v>2721</v>
      </c>
      <c r="N443" s="8" t="s">
        <v>119</v>
      </c>
      <c r="O443" s="8" t="s">
        <v>120</v>
      </c>
      <c r="P443" s="6" t="s">
        <v>631</v>
      </c>
      <c r="Q443" s="8" t="s">
        <v>45</v>
      </c>
      <c r="R443" s="10" t="s">
        <v>2716</v>
      </c>
      <c r="S443" s="11"/>
      <c r="T443" s="6"/>
      <c r="U443" s="24" t="str">
        <f>HYPERLINK("https://media.infra-m.ru/2200/2200870/cover/2200870.jpg", "Обложка")</f>
        <v>Обложка</v>
      </c>
      <c r="V443" s="24" t="str">
        <f>HYPERLINK("https://znanium.ru/catalog/product/2200870", "Ознакомиться")</f>
        <v>Ознакомиться</v>
      </c>
      <c r="W443" s="8"/>
      <c r="X443" s="6" t="s">
        <v>1407</v>
      </c>
      <c r="Y443" s="6"/>
      <c r="Z443" s="6"/>
      <c r="AA443" s="6" t="s">
        <v>2722</v>
      </c>
      <c r="AB443" s="8"/>
    </row>
    <row r="444" spans="1:28" s="4" customFormat="1" ht="42" customHeight="1">
      <c r="A444" s="5">
        <v>0</v>
      </c>
      <c r="B444" s="6" t="s">
        <v>2723</v>
      </c>
      <c r="C444" s="13">
        <v>432</v>
      </c>
      <c r="D444" s="8" t="s">
        <v>2724</v>
      </c>
      <c r="E444" s="8" t="s">
        <v>2725</v>
      </c>
      <c r="F444" s="8" t="s">
        <v>627</v>
      </c>
      <c r="G444" s="6" t="s">
        <v>38</v>
      </c>
      <c r="H444" s="6" t="s">
        <v>39</v>
      </c>
      <c r="I444" s="8" t="s">
        <v>629</v>
      </c>
      <c r="J444" s="9">
        <v>1</v>
      </c>
      <c r="K444" s="9">
        <v>98</v>
      </c>
      <c r="L444" s="9">
        <v>2021</v>
      </c>
      <c r="M444" s="8" t="s">
        <v>2726</v>
      </c>
      <c r="N444" s="8" t="s">
        <v>119</v>
      </c>
      <c r="O444" s="8" t="s">
        <v>120</v>
      </c>
      <c r="P444" s="6" t="s">
        <v>631</v>
      </c>
      <c r="Q444" s="8" t="s">
        <v>45</v>
      </c>
      <c r="R444" s="10" t="s">
        <v>2716</v>
      </c>
      <c r="S444" s="11"/>
      <c r="T444" s="6"/>
      <c r="U444" s="24" t="str">
        <f>HYPERLINK("https://media.infra-m.ru/1455/1455885/cover/1455885.jpg", "Обложка")</f>
        <v>Обложка</v>
      </c>
      <c r="V444" s="24" t="str">
        <f>HYPERLINK("https://znanium.ru/catalog/product/2200870", "Ознакомиться")</f>
        <v>Ознакомиться</v>
      </c>
      <c r="W444" s="8"/>
      <c r="X444" s="6"/>
      <c r="Y444" s="6"/>
      <c r="Z444" s="6"/>
      <c r="AA444" s="6" t="s">
        <v>1392</v>
      </c>
      <c r="AB444" s="8"/>
    </row>
    <row r="445" spans="1:28" s="4" customFormat="1" ht="42" customHeight="1">
      <c r="A445" s="5">
        <v>0</v>
      </c>
      <c r="B445" s="6" t="s">
        <v>2727</v>
      </c>
      <c r="C445" s="13">
        <v>540</v>
      </c>
      <c r="D445" s="8" t="s">
        <v>2728</v>
      </c>
      <c r="E445" s="8" t="s">
        <v>2729</v>
      </c>
      <c r="F445" s="8" t="s">
        <v>627</v>
      </c>
      <c r="G445" s="6" t="s">
        <v>38</v>
      </c>
      <c r="H445" s="6" t="s">
        <v>39</v>
      </c>
      <c r="I445" s="8" t="s">
        <v>629</v>
      </c>
      <c r="J445" s="9">
        <v>1</v>
      </c>
      <c r="K445" s="9">
        <v>104</v>
      </c>
      <c r="L445" s="9">
        <v>2023</v>
      </c>
      <c r="M445" s="8" t="s">
        <v>2730</v>
      </c>
      <c r="N445" s="8" t="s">
        <v>119</v>
      </c>
      <c r="O445" s="8" t="s">
        <v>120</v>
      </c>
      <c r="P445" s="6" t="s">
        <v>631</v>
      </c>
      <c r="Q445" s="8" t="s">
        <v>45</v>
      </c>
      <c r="R445" s="10" t="s">
        <v>2716</v>
      </c>
      <c r="S445" s="11"/>
      <c r="T445" s="6"/>
      <c r="U445" s="24" t="str">
        <f>HYPERLINK("https://media.infra-m.ru/1962/1962499/cover/1962499.jpg", "Обложка")</f>
        <v>Обложка</v>
      </c>
      <c r="V445" s="24" t="str">
        <f>HYPERLINK("https://znanium.ru/catalog/product/2200870", "Ознакомиться")</f>
        <v>Ознакомиться</v>
      </c>
      <c r="W445" s="8"/>
      <c r="X445" s="6"/>
      <c r="Y445" s="6"/>
      <c r="Z445" s="6"/>
      <c r="AA445" s="6" t="s">
        <v>2731</v>
      </c>
      <c r="AB445" s="8"/>
    </row>
    <row r="446" spans="1:28" s="4" customFormat="1" ht="42" customHeight="1">
      <c r="A446" s="5">
        <v>0</v>
      </c>
      <c r="B446" s="6" t="s">
        <v>2732</v>
      </c>
      <c r="C446" s="13">
        <v>456</v>
      </c>
      <c r="D446" s="8" t="s">
        <v>2733</v>
      </c>
      <c r="E446" s="8" t="s">
        <v>2734</v>
      </c>
      <c r="F446" s="8"/>
      <c r="G446" s="6" t="s">
        <v>38</v>
      </c>
      <c r="H446" s="6" t="s">
        <v>39</v>
      </c>
      <c r="I446" s="8" t="s">
        <v>629</v>
      </c>
      <c r="J446" s="9">
        <v>1</v>
      </c>
      <c r="K446" s="9">
        <v>98</v>
      </c>
      <c r="L446" s="9">
        <v>2021</v>
      </c>
      <c r="M446" s="8" t="s">
        <v>2735</v>
      </c>
      <c r="N446" s="8" t="s">
        <v>119</v>
      </c>
      <c r="O446" s="8" t="s">
        <v>120</v>
      </c>
      <c r="P446" s="6" t="s">
        <v>631</v>
      </c>
      <c r="Q446" s="8" t="s">
        <v>45</v>
      </c>
      <c r="R446" s="10" t="s">
        <v>2716</v>
      </c>
      <c r="S446" s="11"/>
      <c r="T446" s="6"/>
      <c r="U446" s="24" t="str">
        <f>HYPERLINK("https://media.infra-m.ru/1814/1814619/cover/1814619.jpg", "Обложка")</f>
        <v>Обложка</v>
      </c>
      <c r="V446" s="24" t="str">
        <f>HYPERLINK("https://znanium.ru/catalog/product/2200870", "Ознакомиться")</f>
        <v>Ознакомиться</v>
      </c>
      <c r="W446" s="8"/>
      <c r="X446" s="6"/>
      <c r="Y446" s="6"/>
      <c r="Z446" s="6"/>
      <c r="AA446" s="6" t="s">
        <v>2736</v>
      </c>
      <c r="AB446" s="8"/>
    </row>
    <row r="447" spans="1:28" s="4" customFormat="1" ht="42" customHeight="1">
      <c r="A447" s="5">
        <v>0</v>
      </c>
      <c r="B447" s="6" t="s">
        <v>2737</v>
      </c>
      <c r="C447" s="13">
        <v>504</v>
      </c>
      <c r="D447" s="8" t="s">
        <v>2738</v>
      </c>
      <c r="E447" s="8" t="s">
        <v>2739</v>
      </c>
      <c r="F447" s="8" t="s">
        <v>627</v>
      </c>
      <c r="G447" s="6" t="s">
        <v>38</v>
      </c>
      <c r="H447" s="6" t="s">
        <v>39</v>
      </c>
      <c r="I447" s="8" t="s">
        <v>629</v>
      </c>
      <c r="J447" s="9">
        <v>1</v>
      </c>
      <c r="K447" s="9">
        <v>100</v>
      </c>
      <c r="L447" s="9">
        <v>2022</v>
      </c>
      <c r="M447" s="8" t="s">
        <v>2740</v>
      </c>
      <c r="N447" s="8" t="s">
        <v>119</v>
      </c>
      <c r="O447" s="8" t="s">
        <v>120</v>
      </c>
      <c r="P447" s="6" t="s">
        <v>631</v>
      </c>
      <c r="Q447" s="8" t="s">
        <v>45</v>
      </c>
      <c r="R447" s="10" t="s">
        <v>2716</v>
      </c>
      <c r="S447" s="11"/>
      <c r="T447" s="6"/>
      <c r="U447" s="24" t="str">
        <f>HYPERLINK("https://media.infra-m.ru/1866/1866823/cover/1866823.jpg", "Обложка")</f>
        <v>Обложка</v>
      </c>
      <c r="V447" s="24" t="str">
        <f>HYPERLINK("https://znanium.ru/catalog/product/2200870", "Ознакомиться")</f>
        <v>Ознакомиться</v>
      </c>
      <c r="W447" s="8"/>
      <c r="X447" s="6"/>
      <c r="Y447" s="6"/>
      <c r="Z447" s="6"/>
      <c r="AA447" s="6" t="s">
        <v>2741</v>
      </c>
      <c r="AB447" s="8"/>
    </row>
    <row r="448" spans="1:28" s="4" customFormat="1" ht="42" customHeight="1">
      <c r="A448" s="5">
        <v>0</v>
      </c>
      <c r="B448" s="6" t="s">
        <v>2742</v>
      </c>
      <c r="C448" s="13">
        <v>468</v>
      </c>
      <c r="D448" s="8" t="s">
        <v>2743</v>
      </c>
      <c r="E448" s="8" t="s">
        <v>2744</v>
      </c>
      <c r="F448" s="8"/>
      <c r="G448" s="6" t="s">
        <v>38</v>
      </c>
      <c r="H448" s="6" t="s">
        <v>39</v>
      </c>
      <c r="I448" s="8" t="s">
        <v>629</v>
      </c>
      <c r="J448" s="9">
        <v>1</v>
      </c>
      <c r="K448" s="9">
        <v>98</v>
      </c>
      <c r="L448" s="9">
        <v>2022</v>
      </c>
      <c r="M448" s="8" t="s">
        <v>2745</v>
      </c>
      <c r="N448" s="8" t="s">
        <v>119</v>
      </c>
      <c r="O448" s="8" t="s">
        <v>120</v>
      </c>
      <c r="P448" s="6" t="s">
        <v>631</v>
      </c>
      <c r="Q448" s="8" t="s">
        <v>45</v>
      </c>
      <c r="R448" s="10" t="s">
        <v>2716</v>
      </c>
      <c r="S448" s="11"/>
      <c r="T448" s="6"/>
      <c r="U448" s="24" t="str">
        <f>HYPERLINK("https://media.infra-m.ru/1844/1844856/cover/1844856.jpg", "Обложка")</f>
        <v>Обложка</v>
      </c>
      <c r="V448" s="24" t="str">
        <f>HYPERLINK("https://znanium.ru/catalog/product/2200870", "Ознакомиться")</f>
        <v>Ознакомиться</v>
      </c>
      <c r="W448" s="8"/>
      <c r="X448" s="6"/>
      <c r="Y448" s="6"/>
      <c r="Z448" s="6"/>
      <c r="AA448" s="6" t="s">
        <v>2746</v>
      </c>
      <c r="AB448" s="8"/>
    </row>
    <row r="449" spans="1:28" s="4" customFormat="1" ht="51.95" customHeight="1">
      <c r="A449" s="5">
        <v>0</v>
      </c>
      <c r="B449" s="6" t="s">
        <v>2747</v>
      </c>
      <c r="C449" s="7">
        <v>2230.8000000000002</v>
      </c>
      <c r="D449" s="8" t="s">
        <v>2748</v>
      </c>
      <c r="E449" s="8" t="s">
        <v>2749</v>
      </c>
      <c r="F449" s="8" t="s">
        <v>2750</v>
      </c>
      <c r="G449" s="6" t="s">
        <v>62</v>
      </c>
      <c r="H449" s="6" t="s">
        <v>39</v>
      </c>
      <c r="I449" s="8" t="s">
        <v>152</v>
      </c>
      <c r="J449" s="9">
        <v>1</v>
      </c>
      <c r="K449" s="9">
        <v>306</v>
      </c>
      <c r="L449" s="9">
        <v>2025</v>
      </c>
      <c r="M449" s="8" t="s">
        <v>2751</v>
      </c>
      <c r="N449" s="8" t="s">
        <v>306</v>
      </c>
      <c r="O449" s="8" t="s">
        <v>2752</v>
      </c>
      <c r="P449" s="6" t="s">
        <v>154</v>
      </c>
      <c r="Q449" s="8" t="s">
        <v>426</v>
      </c>
      <c r="R449" s="10" t="s">
        <v>2753</v>
      </c>
      <c r="S449" s="11"/>
      <c r="T449" s="6"/>
      <c r="U449" s="24" t="str">
        <f>HYPERLINK("https://media.infra-m.ru/2160/2160350/cover/2160350.jpg", "Обложка")</f>
        <v>Обложка</v>
      </c>
      <c r="V449" s="24" t="str">
        <f>HYPERLINK("https://znanium.ru/catalog/product/2160350", "Ознакомиться")</f>
        <v>Ознакомиться</v>
      </c>
      <c r="W449" s="8" t="s">
        <v>2754</v>
      </c>
      <c r="X449" s="6"/>
      <c r="Y449" s="6"/>
      <c r="Z449" s="6"/>
      <c r="AA449" s="6" t="s">
        <v>83</v>
      </c>
      <c r="AB449" s="8"/>
    </row>
    <row r="450" spans="1:28" s="4" customFormat="1" ht="44.1" customHeight="1">
      <c r="A450" s="5">
        <v>0</v>
      </c>
      <c r="B450" s="6" t="s">
        <v>2755</v>
      </c>
      <c r="C450" s="13">
        <v>708</v>
      </c>
      <c r="D450" s="8" t="s">
        <v>2756</v>
      </c>
      <c r="E450" s="8" t="s">
        <v>2757</v>
      </c>
      <c r="F450" s="8" t="s">
        <v>627</v>
      </c>
      <c r="G450" s="6" t="s">
        <v>38</v>
      </c>
      <c r="H450" s="6" t="s">
        <v>39</v>
      </c>
      <c r="I450" s="8"/>
      <c r="J450" s="9">
        <v>1</v>
      </c>
      <c r="K450" s="9">
        <v>108</v>
      </c>
      <c r="L450" s="9">
        <v>2024</v>
      </c>
      <c r="M450" s="8" t="s">
        <v>2758</v>
      </c>
      <c r="N450" s="8" t="s">
        <v>119</v>
      </c>
      <c r="O450" s="8" t="s">
        <v>120</v>
      </c>
      <c r="P450" s="6" t="s">
        <v>1165</v>
      </c>
      <c r="Q450" s="8" t="s">
        <v>45</v>
      </c>
      <c r="R450" s="10" t="s">
        <v>2759</v>
      </c>
      <c r="S450" s="11"/>
      <c r="T450" s="6"/>
      <c r="U450" s="24" t="str">
        <f>HYPERLINK("https://media.infra-m.ru/2139/2139779/cover/2139779.jpg", "Обложка")</f>
        <v>Обложка</v>
      </c>
      <c r="V450" s="24" t="str">
        <f>HYPERLINK("https://znanium.ru/catalog/product/2139779", "Ознакомиться")</f>
        <v>Ознакомиться</v>
      </c>
      <c r="W450" s="8"/>
      <c r="X450" s="6"/>
      <c r="Y450" s="6"/>
      <c r="Z450" s="6"/>
      <c r="AA450" s="6" t="s">
        <v>48</v>
      </c>
      <c r="AB450" s="8"/>
    </row>
    <row r="451" spans="1:28" s="4" customFormat="1" ht="42" customHeight="1">
      <c r="A451" s="5">
        <v>0</v>
      </c>
      <c r="B451" s="6" t="s">
        <v>2760</v>
      </c>
      <c r="C451" s="7">
        <v>2016</v>
      </c>
      <c r="D451" s="8" t="s">
        <v>2761</v>
      </c>
      <c r="E451" s="8" t="s">
        <v>2762</v>
      </c>
      <c r="F451" s="8" t="s">
        <v>2763</v>
      </c>
      <c r="G451" s="6" t="s">
        <v>62</v>
      </c>
      <c r="H451" s="6" t="s">
        <v>39</v>
      </c>
      <c r="I451" s="8" t="s">
        <v>2764</v>
      </c>
      <c r="J451" s="9">
        <v>1</v>
      </c>
      <c r="K451" s="9">
        <v>304</v>
      </c>
      <c r="L451" s="9">
        <v>2026</v>
      </c>
      <c r="M451" s="8" t="s">
        <v>2765</v>
      </c>
      <c r="N451" s="8" t="s">
        <v>119</v>
      </c>
      <c r="O451" s="8" t="s">
        <v>162</v>
      </c>
      <c r="P451" s="6" t="s">
        <v>425</v>
      </c>
      <c r="Q451" s="8" t="s">
        <v>45</v>
      </c>
      <c r="R451" s="10" t="s">
        <v>2766</v>
      </c>
      <c r="S451" s="11"/>
      <c r="T451" s="6" t="s">
        <v>633</v>
      </c>
      <c r="U451" s="24" t="str">
        <f>HYPERLINK("https://media.infra-m.ru/2225/2225090/cover/2225090.jpg", "Обложка")</f>
        <v>Обложка</v>
      </c>
      <c r="V451" s="24" t="str">
        <f>HYPERLINK("https://znanium.ru/catalog/product/2225090", "Ознакомиться")</f>
        <v>Ознакомиться</v>
      </c>
      <c r="W451" s="8" t="s">
        <v>156</v>
      </c>
      <c r="X451" s="6"/>
      <c r="Y451" s="6"/>
      <c r="Z451" s="6"/>
      <c r="AA451" s="6" t="s">
        <v>183</v>
      </c>
      <c r="AB451" s="8"/>
    </row>
    <row r="452" spans="1:28" s="4" customFormat="1" ht="42" customHeight="1">
      <c r="A452" s="5">
        <v>0</v>
      </c>
      <c r="B452" s="6" t="s">
        <v>2767</v>
      </c>
      <c r="C452" s="7">
        <v>1360.8</v>
      </c>
      <c r="D452" s="8" t="s">
        <v>2768</v>
      </c>
      <c r="E452" s="8" t="s">
        <v>2769</v>
      </c>
      <c r="F452" s="8" t="s">
        <v>2770</v>
      </c>
      <c r="G452" s="6" t="s">
        <v>38</v>
      </c>
      <c r="H452" s="6" t="s">
        <v>39</v>
      </c>
      <c r="I452" s="8" t="s">
        <v>1529</v>
      </c>
      <c r="J452" s="9">
        <v>1</v>
      </c>
      <c r="K452" s="9">
        <v>226</v>
      </c>
      <c r="L452" s="9">
        <v>2025</v>
      </c>
      <c r="M452" s="8" t="s">
        <v>2771</v>
      </c>
      <c r="N452" s="8" t="s">
        <v>42</v>
      </c>
      <c r="O452" s="8" t="s">
        <v>72</v>
      </c>
      <c r="P452" s="6" t="s">
        <v>44</v>
      </c>
      <c r="Q452" s="8" t="s">
        <v>45</v>
      </c>
      <c r="R452" s="10" t="s">
        <v>1027</v>
      </c>
      <c r="S452" s="11"/>
      <c r="T452" s="6"/>
      <c r="U452" s="24" t="str">
        <f>HYPERLINK("https://media.infra-m.ru/2167/2167892/cover/2167892.jpg", "Обложка")</f>
        <v>Обложка</v>
      </c>
      <c r="V452" s="12"/>
      <c r="W452" s="8" t="s">
        <v>2772</v>
      </c>
      <c r="X452" s="6"/>
      <c r="Y452" s="6"/>
      <c r="Z452" s="6"/>
      <c r="AA452" s="6" t="s">
        <v>138</v>
      </c>
      <c r="AB452" s="8"/>
    </row>
    <row r="453" spans="1:28" s="4" customFormat="1" ht="42" customHeight="1">
      <c r="A453" s="5">
        <v>0</v>
      </c>
      <c r="B453" s="6" t="s">
        <v>2773</v>
      </c>
      <c r="C453" s="13">
        <v>648</v>
      </c>
      <c r="D453" s="8" t="s">
        <v>2774</v>
      </c>
      <c r="E453" s="8" t="s">
        <v>2775</v>
      </c>
      <c r="F453" s="8" t="s">
        <v>53</v>
      </c>
      <c r="G453" s="6" t="s">
        <v>38</v>
      </c>
      <c r="H453" s="6" t="s">
        <v>39</v>
      </c>
      <c r="I453" s="8" t="s">
        <v>40</v>
      </c>
      <c r="J453" s="9">
        <v>1</v>
      </c>
      <c r="K453" s="9">
        <v>121</v>
      </c>
      <c r="L453" s="9">
        <v>2022</v>
      </c>
      <c r="M453" s="8" t="s">
        <v>2776</v>
      </c>
      <c r="N453" s="8" t="s">
        <v>42</v>
      </c>
      <c r="O453" s="8" t="s">
        <v>43</v>
      </c>
      <c r="P453" s="6" t="s">
        <v>44</v>
      </c>
      <c r="Q453" s="8" t="s">
        <v>45</v>
      </c>
      <c r="R453" s="10" t="s">
        <v>1699</v>
      </c>
      <c r="S453" s="11"/>
      <c r="T453" s="6"/>
      <c r="U453" s="24" t="str">
        <f>HYPERLINK("https://media.infra-m.ru/1864/1864111/cover/1864111.jpg", "Обложка")</f>
        <v>Обложка</v>
      </c>
      <c r="V453" s="24" t="str">
        <f>HYPERLINK("https://znanium.ru/catalog/product/1864111", "Ознакомиться")</f>
        <v>Ознакомиться</v>
      </c>
      <c r="W453" s="8" t="s">
        <v>56</v>
      </c>
      <c r="X453" s="6"/>
      <c r="Y453" s="6"/>
      <c r="Z453" s="6"/>
      <c r="AA453" s="6" t="s">
        <v>391</v>
      </c>
      <c r="AB453" s="8"/>
    </row>
    <row r="454" spans="1:28" s="4" customFormat="1" ht="42" customHeight="1">
      <c r="A454" s="5">
        <v>0</v>
      </c>
      <c r="B454" s="6" t="s">
        <v>2777</v>
      </c>
      <c r="C454" s="7">
        <v>1524</v>
      </c>
      <c r="D454" s="8" t="s">
        <v>2778</v>
      </c>
      <c r="E454" s="8" t="s">
        <v>2779</v>
      </c>
      <c r="F454" s="8" t="s">
        <v>2780</v>
      </c>
      <c r="G454" s="6" t="s">
        <v>38</v>
      </c>
      <c r="H454" s="6" t="s">
        <v>39</v>
      </c>
      <c r="I454" s="8" t="s">
        <v>1529</v>
      </c>
      <c r="J454" s="9">
        <v>1</v>
      </c>
      <c r="K454" s="9">
        <v>270</v>
      </c>
      <c r="L454" s="9">
        <v>2024</v>
      </c>
      <c r="M454" s="8" t="s">
        <v>2781</v>
      </c>
      <c r="N454" s="8" t="s">
        <v>42</v>
      </c>
      <c r="O454" s="8" t="s">
        <v>43</v>
      </c>
      <c r="P454" s="6" t="s">
        <v>44</v>
      </c>
      <c r="Q454" s="8" t="s">
        <v>45</v>
      </c>
      <c r="R454" s="10" t="s">
        <v>2782</v>
      </c>
      <c r="S454" s="11"/>
      <c r="T454" s="6"/>
      <c r="U454" s="24" t="str">
        <f>HYPERLINK("https://media.infra-m.ru/2125/2125173/cover/2125173.jpg", "Обложка")</f>
        <v>Обложка</v>
      </c>
      <c r="V454" s="12"/>
      <c r="W454" s="8" t="s">
        <v>1532</v>
      </c>
      <c r="X454" s="6"/>
      <c r="Y454" s="6"/>
      <c r="Z454" s="6"/>
      <c r="AA454" s="6" t="s">
        <v>48</v>
      </c>
      <c r="AB454" s="8"/>
    </row>
    <row r="455" spans="1:28" s="4" customFormat="1" ht="42" customHeight="1">
      <c r="A455" s="5">
        <v>0</v>
      </c>
      <c r="B455" s="6" t="s">
        <v>2783</v>
      </c>
      <c r="C455" s="13">
        <v>556.79999999999995</v>
      </c>
      <c r="D455" s="8" t="s">
        <v>2784</v>
      </c>
      <c r="E455" s="8" t="s">
        <v>2785</v>
      </c>
      <c r="F455" s="8" t="s">
        <v>2786</v>
      </c>
      <c r="G455" s="6" t="s">
        <v>38</v>
      </c>
      <c r="H455" s="6" t="s">
        <v>39</v>
      </c>
      <c r="I455" s="8" t="s">
        <v>40</v>
      </c>
      <c r="J455" s="9">
        <v>1</v>
      </c>
      <c r="K455" s="9">
        <v>100</v>
      </c>
      <c r="L455" s="9">
        <v>2024</v>
      </c>
      <c r="M455" s="8" t="s">
        <v>2787</v>
      </c>
      <c r="N455" s="8" t="s">
        <v>42</v>
      </c>
      <c r="O455" s="8" t="s">
        <v>43</v>
      </c>
      <c r="P455" s="6" t="s">
        <v>44</v>
      </c>
      <c r="Q455" s="8" t="s">
        <v>45</v>
      </c>
      <c r="R455" s="10" t="s">
        <v>2788</v>
      </c>
      <c r="S455" s="11"/>
      <c r="T455" s="6"/>
      <c r="U455" s="24" t="str">
        <f>HYPERLINK("https://media.infra-m.ru/2082/2082160/cover/2082160.jpg", "Обложка")</f>
        <v>Обложка</v>
      </c>
      <c r="V455" s="24" t="str">
        <f>HYPERLINK("https://znanium.ru/catalog/product/1168576", "Ознакомиться")</f>
        <v>Ознакомиться</v>
      </c>
      <c r="W455" s="8" t="s">
        <v>220</v>
      </c>
      <c r="X455" s="6"/>
      <c r="Y455" s="6"/>
      <c r="Z455" s="6"/>
      <c r="AA455" s="6" t="s">
        <v>264</v>
      </c>
      <c r="AB455" s="8"/>
    </row>
    <row r="456" spans="1:28" s="4" customFormat="1" ht="51.95" customHeight="1">
      <c r="A456" s="5">
        <v>0</v>
      </c>
      <c r="B456" s="6" t="s">
        <v>2789</v>
      </c>
      <c r="C456" s="7">
        <v>1188</v>
      </c>
      <c r="D456" s="8" t="s">
        <v>2790</v>
      </c>
      <c r="E456" s="8" t="s">
        <v>2791</v>
      </c>
      <c r="F456" s="8" t="s">
        <v>2792</v>
      </c>
      <c r="G456" s="6" t="s">
        <v>96</v>
      </c>
      <c r="H456" s="6" t="s">
        <v>167</v>
      </c>
      <c r="I456" s="8"/>
      <c r="J456" s="9">
        <v>1</v>
      </c>
      <c r="K456" s="9">
        <v>176</v>
      </c>
      <c r="L456" s="9">
        <v>2024</v>
      </c>
      <c r="M456" s="8" t="s">
        <v>2793</v>
      </c>
      <c r="N456" s="8" t="s">
        <v>119</v>
      </c>
      <c r="O456" s="8" t="s">
        <v>120</v>
      </c>
      <c r="P456" s="6" t="s">
        <v>248</v>
      </c>
      <c r="Q456" s="8" t="s">
        <v>45</v>
      </c>
      <c r="R456" s="10" t="s">
        <v>2794</v>
      </c>
      <c r="S456" s="11"/>
      <c r="T456" s="6"/>
      <c r="U456" s="24" t="str">
        <f>HYPERLINK("https://media.infra-m.ru/2137/2137747/cover/2137747.jpg", "Обложка")</f>
        <v>Обложка</v>
      </c>
      <c r="V456" s="24" t="str">
        <f>HYPERLINK("https://znanium.ru/catalog/product/2130217", "Ознакомиться")</f>
        <v>Ознакомиться</v>
      </c>
      <c r="W456" s="8" t="s">
        <v>708</v>
      </c>
      <c r="X456" s="6"/>
      <c r="Y456" s="6"/>
      <c r="Z456" s="6"/>
      <c r="AA456" s="6" t="s">
        <v>48</v>
      </c>
      <c r="AB456" s="8"/>
    </row>
    <row r="457" spans="1:28" s="4" customFormat="1" ht="42" customHeight="1">
      <c r="A457" s="5">
        <v>0</v>
      </c>
      <c r="B457" s="6" t="s">
        <v>2795</v>
      </c>
      <c r="C457" s="13">
        <v>360</v>
      </c>
      <c r="D457" s="8" t="s">
        <v>2796</v>
      </c>
      <c r="E457" s="8" t="s">
        <v>2797</v>
      </c>
      <c r="F457" s="8" t="s">
        <v>627</v>
      </c>
      <c r="G457" s="6" t="s">
        <v>628</v>
      </c>
      <c r="H457" s="6" t="s">
        <v>39</v>
      </c>
      <c r="I457" s="8" t="s">
        <v>629</v>
      </c>
      <c r="J457" s="9">
        <v>1</v>
      </c>
      <c r="K457" s="9">
        <v>49</v>
      </c>
      <c r="L457" s="9">
        <v>2023</v>
      </c>
      <c r="M457" s="8" t="s">
        <v>2798</v>
      </c>
      <c r="N457" s="8" t="s">
        <v>177</v>
      </c>
      <c r="O457" s="8" t="s">
        <v>2639</v>
      </c>
      <c r="P457" s="6" t="s">
        <v>1997</v>
      </c>
      <c r="Q457" s="8" t="s">
        <v>45</v>
      </c>
      <c r="R457" s="10" t="s">
        <v>2799</v>
      </c>
      <c r="S457" s="11"/>
      <c r="T457" s="6"/>
      <c r="U457" s="24" t="str">
        <f>HYPERLINK("https://media.infra-m.ru/2070/2070075/cover/2070075.jpg", "Обложка")</f>
        <v>Обложка</v>
      </c>
      <c r="V457" s="24" t="str">
        <f>HYPERLINK("https://znanium.ru/catalog/product/2070075", "Ознакомиться")</f>
        <v>Ознакомиться</v>
      </c>
      <c r="W457" s="8"/>
      <c r="X457" s="6"/>
      <c r="Y457" s="6"/>
      <c r="Z457" s="6"/>
      <c r="AA457" s="6" t="s">
        <v>208</v>
      </c>
      <c r="AB457" s="8"/>
    </row>
    <row r="458" spans="1:28" s="4" customFormat="1" ht="42" customHeight="1">
      <c r="A458" s="5">
        <v>0</v>
      </c>
      <c r="B458" s="6" t="s">
        <v>2800</v>
      </c>
      <c r="C458" s="13">
        <v>252</v>
      </c>
      <c r="D458" s="8" t="s">
        <v>2801</v>
      </c>
      <c r="E458" s="8" t="s">
        <v>2802</v>
      </c>
      <c r="F458" s="8" t="s">
        <v>627</v>
      </c>
      <c r="G458" s="6" t="s">
        <v>628</v>
      </c>
      <c r="H458" s="6" t="s">
        <v>39</v>
      </c>
      <c r="I458" s="8" t="s">
        <v>629</v>
      </c>
      <c r="J458" s="9">
        <v>1</v>
      </c>
      <c r="K458" s="9">
        <v>44</v>
      </c>
      <c r="L458" s="9">
        <v>2019</v>
      </c>
      <c r="M458" s="8" t="s">
        <v>2798</v>
      </c>
      <c r="N458" s="8" t="s">
        <v>177</v>
      </c>
      <c r="O458" s="8" t="s">
        <v>2639</v>
      </c>
      <c r="P458" s="6" t="s">
        <v>1997</v>
      </c>
      <c r="Q458" s="8" t="s">
        <v>45</v>
      </c>
      <c r="R458" s="10" t="s">
        <v>2799</v>
      </c>
      <c r="S458" s="11"/>
      <c r="T458" s="6"/>
      <c r="U458" s="24" t="str">
        <f>HYPERLINK("https://media.infra-m.ru/1008/1008536/cover/1008536.jpg", "Обложка")</f>
        <v>Обложка</v>
      </c>
      <c r="V458" s="24" t="str">
        <f>HYPERLINK("https://znanium.ru/catalog/product/2070075", "Ознакомиться")</f>
        <v>Ознакомиться</v>
      </c>
      <c r="W458" s="8"/>
      <c r="X458" s="6"/>
      <c r="Y458" s="6"/>
      <c r="Z458" s="6"/>
      <c r="AA458" s="6" t="s">
        <v>213</v>
      </c>
      <c r="AB458" s="8"/>
    </row>
    <row r="459" spans="1:28" s="4" customFormat="1" ht="51.95" customHeight="1">
      <c r="A459" s="5">
        <v>0</v>
      </c>
      <c r="B459" s="6" t="s">
        <v>2803</v>
      </c>
      <c r="C459" s="7">
        <v>1668</v>
      </c>
      <c r="D459" s="8" t="s">
        <v>2804</v>
      </c>
      <c r="E459" s="8" t="s">
        <v>2805</v>
      </c>
      <c r="F459" s="8" t="s">
        <v>627</v>
      </c>
      <c r="G459" s="6" t="s">
        <v>62</v>
      </c>
      <c r="H459" s="6" t="s">
        <v>39</v>
      </c>
      <c r="I459" s="8" t="s">
        <v>629</v>
      </c>
      <c r="J459" s="9">
        <v>1</v>
      </c>
      <c r="K459" s="9">
        <v>296</v>
      </c>
      <c r="L459" s="9">
        <v>2024</v>
      </c>
      <c r="M459" s="8" t="s">
        <v>2806</v>
      </c>
      <c r="N459" s="8" t="s">
        <v>119</v>
      </c>
      <c r="O459" s="8" t="s">
        <v>120</v>
      </c>
      <c r="P459" s="6" t="s">
        <v>1997</v>
      </c>
      <c r="Q459" s="8" t="s">
        <v>45</v>
      </c>
      <c r="R459" s="10" t="s">
        <v>2807</v>
      </c>
      <c r="S459" s="11"/>
      <c r="T459" s="6"/>
      <c r="U459" s="24" t="str">
        <f>HYPERLINK("https://media.infra-m.ru/2137/2137614/cover/2137614.jpg", "Обложка")</f>
        <v>Обложка</v>
      </c>
      <c r="V459" s="24" t="str">
        <f>HYPERLINK("https://znanium.ru/catalog/product/2137614", "Ознакомиться")</f>
        <v>Ознакомиться</v>
      </c>
      <c r="W459" s="8"/>
      <c r="X459" s="6"/>
      <c r="Y459" s="6"/>
      <c r="Z459" s="6"/>
      <c r="AA459" s="6" t="s">
        <v>918</v>
      </c>
      <c r="AB459" s="8"/>
    </row>
    <row r="460" spans="1:28" s="4" customFormat="1" ht="51.95" customHeight="1">
      <c r="A460" s="5">
        <v>0</v>
      </c>
      <c r="B460" s="6" t="s">
        <v>2808</v>
      </c>
      <c r="C460" s="7">
        <v>1560</v>
      </c>
      <c r="D460" s="8" t="s">
        <v>2809</v>
      </c>
      <c r="E460" s="8" t="s">
        <v>2810</v>
      </c>
      <c r="F460" s="8" t="s">
        <v>627</v>
      </c>
      <c r="G460" s="6" t="s">
        <v>62</v>
      </c>
      <c r="H460" s="6" t="s">
        <v>39</v>
      </c>
      <c r="I460" s="8" t="s">
        <v>629</v>
      </c>
      <c r="J460" s="9">
        <v>1</v>
      </c>
      <c r="K460" s="9">
        <v>289</v>
      </c>
      <c r="L460" s="9">
        <v>2023</v>
      </c>
      <c r="M460" s="8" t="s">
        <v>2811</v>
      </c>
      <c r="N460" s="8" t="s">
        <v>119</v>
      </c>
      <c r="O460" s="8" t="s">
        <v>120</v>
      </c>
      <c r="P460" s="6" t="s">
        <v>1997</v>
      </c>
      <c r="Q460" s="8" t="s">
        <v>45</v>
      </c>
      <c r="R460" s="10" t="s">
        <v>2807</v>
      </c>
      <c r="S460" s="11"/>
      <c r="T460" s="6"/>
      <c r="U460" s="24" t="str">
        <f>HYPERLINK("https://media.infra-m.ru/2050/2050500/cover/2050500.jpg", "Обложка")</f>
        <v>Обложка</v>
      </c>
      <c r="V460" s="24" t="str">
        <f>HYPERLINK("https://znanium.ru/catalog/product/2137614", "Ознакомиться")</f>
        <v>Ознакомиться</v>
      </c>
      <c r="W460" s="8"/>
      <c r="X460" s="6"/>
      <c r="Y460" s="6"/>
      <c r="Z460" s="6"/>
      <c r="AA460" s="6" t="s">
        <v>91</v>
      </c>
      <c r="AB460" s="8"/>
    </row>
    <row r="461" spans="1:28" s="4" customFormat="1" ht="44.1" customHeight="1">
      <c r="A461" s="5">
        <v>0</v>
      </c>
      <c r="B461" s="6" t="s">
        <v>2812</v>
      </c>
      <c r="C461" s="13">
        <v>684</v>
      </c>
      <c r="D461" s="8" t="s">
        <v>2813</v>
      </c>
      <c r="E461" s="8" t="s">
        <v>2814</v>
      </c>
      <c r="F461" s="8"/>
      <c r="G461" s="6" t="s">
        <v>38</v>
      </c>
      <c r="H461" s="6" t="s">
        <v>39</v>
      </c>
      <c r="I461" s="8" t="s">
        <v>629</v>
      </c>
      <c r="J461" s="9">
        <v>1</v>
      </c>
      <c r="K461" s="9">
        <v>144</v>
      </c>
      <c r="L461" s="9">
        <v>2022</v>
      </c>
      <c r="M461" s="8" t="s">
        <v>2815</v>
      </c>
      <c r="N461" s="8" t="s">
        <v>177</v>
      </c>
      <c r="O461" s="8" t="s">
        <v>178</v>
      </c>
      <c r="P461" s="6" t="s">
        <v>1997</v>
      </c>
      <c r="Q461" s="8" t="s">
        <v>45</v>
      </c>
      <c r="R461" s="10" t="s">
        <v>2816</v>
      </c>
      <c r="S461" s="11"/>
      <c r="T461" s="6"/>
      <c r="U461" s="24" t="str">
        <f>HYPERLINK("https://media.infra-m.ru/1860/1860810/cover/1860810.jpg", "Обложка")</f>
        <v>Обложка</v>
      </c>
      <c r="V461" s="24" t="str">
        <f>HYPERLINK("https://znanium.ru/catalog/product/2196386", "Ознакомиться")</f>
        <v>Ознакомиться</v>
      </c>
      <c r="W461" s="8"/>
      <c r="X461" s="6"/>
      <c r="Y461" s="6" t="s">
        <v>30</v>
      </c>
      <c r="Z461" s="6"/>
      <c r="AA461" s="6" t="s">
        <v>1495</v>
      </c>
      <c r="AB461" s="8"/>
    </row>
    <row r="462" spans="1:28" s="4" customFormat="1" ht="44.1" customHeight="1">
      <c r="A462" s="5">
        <v>0</v>
      </c>
      <c r="B462" s="6" t="s">
        <v>2817</v>
      </c>
      <c r="C462" s="13">
        <v>928.8</v>
      </c>
      <c r="D462" s="8" t="s">
        <v>2818</v>
      </c>
      <c r="E462" s="8" t="s">
        <v>2819</v>
      </c>
      <c r="F462" s="8" t="s">
        <v>627</v>
      </c>
      <c r="G462" s="6" t="s">
        <v>38</v>
      </c>
      <c r="H462" s="6" t="s">
        <v>39</v>
      </c>
      <c r="I462" s="8" t="s">
        <v>629</v>
      </c>
      <c r="J462" s="9">
        <v>1</v>
      </c>
      <c r="K462" s="9">
        <v>149</v>
      </c>
      <c r="L462" s="9">
        <v>2025</v>
      </c>
      <c r="M462" s="8" t="s">
        <v>2820</v>
      </c>
      <c r="N462" s="8" t="s">
        <v>177</v>
      </c>
      <c r="O462" s="8" t="s">
        <v>178</v>
      </c>
      <c r="P462" s="6" t="s">
        <v>1997</v>
      </c>
      <c r="Q462" s="8" t="s">
        <v>45</v>
      </c>
      <c r="R462" s="10" t="s">
        <v>2816</v>
      </c>
      <c r="S462" s="11"/>
      <c r="T462" s="6"/>
      <c r="U462" s="24" t="str">
        <f>HYPERLINK("https://media.infra-m.ru/2197/2197056/cover/2197056.jpg", "Обложка")</f>
        <v>Обложка</v>
      </c>
      <c r="V462" s="24" t="str">
        <f>HYPERLINK("https://znanium.ru/catalog/product/2196386", "Ознакомиться")</f>
        <v>Ознакомиться</v>
      </c>
      <c r="W462" s="8"/>
      <c r="X462" s="6"/>
      <c r="Y462" s="6" t="s">
        <v>30</v>
      </c>
      <c r="Z462" s="6"/>
      <c r="AA462" s="6" t="s">
        <v>2821</v>
      </c>
      <c r="AB462" s="8"/>
    </row>
    <row r="463" spans="1:28" s="4" customFormat="1" ht="42" customHeight="1">
      <c r="A463" s="5">
        <v>0</v>
      </c>
      <c r="B463" s="6" t="s">
        <v>2822</v>
      </c>
      <c r="C463" s="13">
        <v>479.9</v>
      </c>
      <c r="D463" s="8" t="s">
        <v>2823</v>
      </c>
      <c r="E463" s="8" t="s">
        <v>2824</v>
      </c>
      <c r="F463" s="8" t="s">
        <v>627</v>
      </c>
      <c r="G463" s="6" t="s">
        <v>38</v>
      </c>
      <c r="H463" s="6" t="s">
        <v>39</v>
      </c>
      <c r="I463" s="8" t="s">
        <v>629</v>
      </c>
      <c r="J463" s="9">
        <v>1</v>
      </c>
      <c r="K463" s="9">
        <v>104</v>
      </c>
      <c r="L463" s="9">
        <v>2021</v>
      </c>
      <c r="M463" s="8" t="s">
        <v>2825</v>
      </c>
      <c r="N463" s="8" t="s">
        <v>119</v>
      </c>
      <c r="O463" s="8" t="s">
        <v>915</v>
      </c>
      <c r="P463" s="6" t="s">
        <v>1997</v>
      </c>
      <c r="Q463" s="8" t="s">
        <v>45</v>
      </c>
      <c r="R463" s="10" t="s">
        <v>2826</v>
      </c>
      <c r="S463" s="11"/>
      <c r="T463" s="6"/>
      <c r="U463" s="24" t="str">
        <f>HYPERLINK("https://media.infra-m.ru/1241/1241980/cover/1241980.jpg", "Обложка")</f>
        <v>Обложка</v>
      </c>
      <c r="V463" s="24" t="str">
        <f>HYPERLINK("https://znanium.ru/catalog/product/1241980", "Ознакомиться")</f>
        <v>Ознакомиться</v>
      </c>
      <c r="W463" s="8"/>
      <c r="X463" s="6"/>
      <c r="Y463" s="6"/>
      <c r="Z463" s="6"/>
      <c r="AA463" s="6" t="s">
        <v>227</v>
      </c>
      <c r="AB463" s="8"/>
    </row>
    <row r="464" spans="1:28" s="4" customFormat="1" ht="44.1" customHeight="1">
      <c r="A464" s="5">
        <v>0</v>
      </c>
      <c r="B464" s="6" t="s">
        <v>2827</v>
      </c>
      <c r="C464" s="13">
        <v>192</v>
      </c>
      <c r="D464" s="8" t="s">
        <v>2828</v>
      </c>
      <c r="E464" s="8" t="s">
        <v>2829</v>
      </c>
      <c r="F464" s="8" t="s">
        <v>627</v>
      </c>
      <c r="G464" s="6" t="s">
        <v>628</v>
      </c>
      <c r="H464" s="6" t="s">
        <v>39</v>
      </c>
      <c r="I464" s="8" t="s">
        <v>629</v>
      </c>
      <c r="J464" s="9">
        <v>1</v>
      </c>
      <c r="K464" s="9">
        <v>40</v>
      </c>
      <c r="L464" s="9">
        <v>2022</v>
      </c>
      <c r="M464" s="8" t="s">
        <v>2830</v>
      </c>
      <c r="N464" s="8" t="s">
        <v>119</v>
      </c>
      <c r="O464" s="8" t="s">
        <v>915</v>
      </c>
      <c r="P464" s="6" t="s">
        <v>1997</v>
      </c>
      <c r="Q464" s="8" t="s">
        <v>45</v>
      </c>
      <c r="R464" s="10" t="s">
        <v>2831</v>
      </c>
      <c r="S464" s="11"/>
      <c r="T464" s="6"/>
      <c r="U464" s="24" t="str">
        <f>HYPERLINK("https://media.infra-m.ru/1864/1864112/cover/1864112.jpg", "Обложка")</f>
        <v>Обложка</v>
      </c>
      <c r="V464" s="24" t="str">
        <f>HYPERLINK("https://znanium.ru/catalog/product/1864112", "Ознакомиться")</f>
        <v>Ознакомиться</v>
      </c>
      <c r="W464" s="8"/>
      <c r="X464" s="6"/>
      <c r="Y464" s="6"/>
      <c r="Z464" s="6"/>
      <c r="AA464" s="6" t="s">
        <v>129</v>
      </c>
      <c r="AB464" s="8"/>
    </row>
    <row r="465" spans="1:28" s="4" customFormat="1" ht="51.95" customHeight="1">
      <c r="A465" s="5">
        <v>0</v>
      </c>
      <c r="B465" s="6" t="s">
        <v>2832</v>
      </c>
      <c r="C465" s="13">
        <v>396</v>
      </c>
      <c r="D465" s="8" t="s">
        <v>2833</v>
      </c>
      <c r="E465" s="8" t="s">
        <v>2834</v>
      </c>
      <c r="F465" s="8" t="s">
        <v>627</v>
      </c>
      <c r="G465" s="6" t="s">
        <v>38</v>
      </c>
      <c r="H465" s="6" t="s">
        <v>39</v>
      </c>
      <c r="I465" s="8" t="s">
        <v>629</v>
      </c>
      <c r="J465" s="9">
        <v>1</v>
      </c>
      <c r="K465" s="9">
        <v>48</v>
      </c>
      <c r="L465" s="9">
        <v>2022</v>
      </c>
      <c r="M465" s="8" t="s">
        <v>2835</v>
      </c>
      <c r="N465" s="8" t="s">
        <v>177</v>
      </c>
      <c r="O465" s="8" t="s">
        <v>190</v>
      </c>
      <c r="P465" s="6" t="s">
        <v>1997</v>
      </c>
      <c r="Q465" s="8" t="s">
        <v>45</v>
      </c>
      <c r="R465" s="10" t="s">
        <v>2836</v>
      </c>
      <c r="S465" s="11"/>
      <c r="T465" s="6"/>
      <c r="U465" s="24" t="str">
        <f>HYPERLINK("https://media.infra-m.ru/1173/1173599/cover/1173599.jpg", "Обложка")</f>
        <v>Обложка</v>
      </c>
      <c r="V465" s="24" t="str">
        <f>HYPERLINK("https://znanium.ru/catalog/product/1173599", "Ознакомиться")</f>
        <v>Ознакомиться</v>
      </c>
      <c r="W465" s="8"/>
      <c r="X465" s="6"/>
      <c r="Y465" s="6"/>
      <c r="Z465" s="6"/>
      <c r="AA465" s="6" t="s">
        <v>83</v>
      </c>
      <c r="AB465" s="8"/>
    </row>
    <row r="466" spans="1:28" s="4" customFormat="1" ht="51.95" customHeight="1">
      <c r="A466" s="5">
        <v>0</v>
      </c>
      <c r="B466" s="6" t="s">
        <v>2837</v>
      </c>
      <c r="C466" s="7">
        <v>2040</v>
      </c>
      <c r="D466" s="8" t="s">
        <v>2838</v>
      </c>
      <c r="E466" s="8" t="s">
        <v>2839</v>
      </c>
      <c r="F466" s="8"/>
      <c r="G466" s="6" t="s">
        <v>38</v>
      </c>
      <c r="H466" s="6" t="s">
        <v>39</v>
      </c>
      <c r="I466" s="8" t="s">
        <v>629</v>
      </c>
      <c r="J466" s="9">
        <v>1</v>
      </c>
      <c r="K466" s="9">
        <v>327</v>
      </c>
      <c r="L466" s="9">
        <v>2025</v>
      </c>
      <c r="M466" s="8" t="s">
        <v>2840</v>
      </c>
      <c r="N466" s="8" t="s">
        <v>177</v>
      </c>
      <c r="O466" s="8" t="s">
        <v>190</v>
      </c>
      <c r="P466" s="6" t="s">
        <v>1997</v>
      </c>
      <c r="Q466" s="8" t="s">
        <v>45</v>
      </c>
      <c r="R466" s="10" t="s">
        <v>2841</v>
      </c>
      <c r="S466" s="11"/>
      <c r="T466" s="6"/>
      <c r="U466" s="24" t="str">
        <f>HYPERLINK("https://media.infra-m.ru/2196/2196756/cover/2196756.jpg", "Обложка")</f>
        <v>Обложка</v>
      </c>
      <c r="V466" s="24" t="str">
        <f>HYPERLINK("https://znanium.ru/catalog/product/2196756", "Ознакомиться")</f>
        <v>Ознакомиться</v>
      </c>
      <c r="W466" s="8"/>
      <c r="X466" s="6"/>
      <c r="Y466" s="6"/>
      <c r="Z466" s="6"/>
      <c r="AA466" s="6" t="s">
        <v>83</v>
      </c>
      <c r="AB466" s="8"/>
    </row>
    <row r="467" spans="1:28" s="4" customFormat="1" ht="42" customHeight="1">
      <c r="A467" s="5">
        <v>0</v>
      </c>
      <c r="B467" s="6" t="s">
        <v>2842</v>
      </c>
      <c r="C467" s="7">
        <v>3706.8</v>
      </c>
      <c r="D467" s="8" t="s">
        <v>2843</v>
      </c>
      <c r="E467" s="8" t="s">
        <v>2844</v>
      </c>
      <c r="F467" s="8" t="s">
        <v>627</v>
      </c>
      <c r="G467" s="6" t="s">
        <v>62</v>
      </c>
      <c r="H467" s="6" t="s">
        <v>39</v>
      </c>
      <c r="I467" s="8" t="s">
        <v>629</v>
      </c>
      <c r="J467" s="9">
        <v>1</v>
      </c>
      <c r="K467" s="9">
        <v>561</v>
      </c>
      <c r="L467" s="9">
        <v>2026</v>
      </c>
      <c r="M467" s="8" t="s">
        <v>2845</v>
      </c>
      <c r="N467" s="8" t="s">
        <v>177</v>
      </c>
      <c r="O467" s="8" t="s">
        <v>190</v>
      </c>
      <c r="P467" s="6" t="s">
        <v>1997</v>
      </c>
      <c r="Q467" s="8" t="s">
        <v>45</v>
      </c>
      <c r="R467" s="10" t="s">
        <v>1166</v>
      </c>
      <c r="S467" s="11"/>
      <c r="T467" s="6"/>
      <c r="U467" s="24" t="str">
        <f>HYPERLINK("https://media.infra-m.ru/2228/2228062/cover/2228062.jpg", "Обложка")</f>
        <v>Обложка</v>
      </c>
      <c r="V467" s="24" t="str">
        <f>HYPERLINK("https://znanium.ru/catalog/product/2202555", "Ознакомиться")</f>
        <v>Ознакомиться</v>
      </c>
      <c r="W467" s="8"/>
      <c r="X467" s="6"/>
      <c r="Y467" s="6"/>
      <c r="Z467" s="6"/>
      <c r="AA467" s="6" t="s">
        <v>2821</v>
      </c>
      <c r="AB467" s="8"/>
    </row>
    <row r="468" spans="1:28" s="4" customFormat="1" ht="42" customHeight="1">
      <c r="A468" s="5">
        <v>0</v>
      </c>
      <c r="B468" s="6" t="s">
        <v>2846</v>
      </c>
      <c r="C468" s="7">
        <v>1068</v>
      </c>
      <c r="D468" s="8" t="s">
        <v>2847</v>
      </c>
      <c r="E468" s="8" t="s">
        <v>2848</v>
      </c>
      <c r="F468" s="8" t="s">
        <v>627</v>
      </c>
      <c r="G468" s="6" t="s">
        <v>38</v>
      </c>
      <c r="H468" s="6" t="s">
        <v>39</v>
      </c>
      <c r="I468" s="8" t="s">
        <v>629</v>
      </c>
      <c r="J468" s="9">
        <v>1</v>
      </c>
      <c r="K468" s="9">
        <v>187</v>
      </c>
      <c r="L468" s="9">
        <v>2024</v>
      </c>
      <c r="M468" s="8" t="s">
        <v>2849</v>
      </c>
      <c r="N468" s="8" t="s">
        <v>177</v>
      </c>
      <c r="O468" s="8" t="s">
        <v>178</v>
      </c>
      <c r="P468" s="6" t="s">
        <v>1997</v>
      </c>
      <c r="Q468" s="8" t="s">
        <v>45</v>
      </c>
      <c r="R468" s="10" t="s">
        <v>2850</v>
      </c>
      <c r="S468" s="11"/>
      <c r="T468" s="6"/>
      <c r="U468" s="24" t="str">
        <f>HYPERLINK("https://media.infra-m.ru/2133/2133526/cover/2133526.jpg", "Обложка")</f>
        <v>Обложка</v>
      </c>
      <c r="V468" s="24" t="str">
        <f>HYPERLINK("https://znanium.ru/catalog/product/2133526", "Ознакомиться")</f>
        <v>Ознакомиться</v>
      </c>
      <c r="W468" s="8"/>
      <c r="X468" s="6"/>
      <c r="Y468" s="6"/>
      <c r="Z468" s="6"/>
      <c r="AA468" s="6" t="s">
        <v>2851</v>
      </c>
      <c r="AB468" s="8"/>
    </row>
    <row r="469" spans="1:28" s="4" customFormat="1" ht="42" customHeight="1">
      <c r="A469" s="5">
        <v>0</v>
      </c>
      <c r="B469" s="6" t="s">
        <v>2852</v>
      </c>
      <c r="C469" s="7">
        <v>1679.9</v>
      </c>
      <c r="D469" s="8" t="s">
        <v>2853</v>
      </c>
      <c r="E469" s="8" t="s">
        <v>2854</v>
      </c>
      <c r="F469" s="8" t="s">
        <v>627</v>
      </c>
      <c r="G469" s="6" t="s">
        <v>62</v>
      </c>
      <c r="H469" s="6" t="s">
        <v>39</v>
      </c>
      <c r="I469" s="8" t="s">
        <v>629</v>
      </c>
      <c r="J469" s="9">
        <v>1</v>
      </c>
      <c r="K469" s="9">
        <v>487</v>
      </c>
      <c r="L469" s="9">
        <v>2018</v>
      </c>
      <c r="M469" s="8" t="s">
        <v>2855</v>
      </c>
      <c r="N469" s="8" t="s">
        <v>177</v>
      </c>
      <c r="O469" s="8" t="s">
        <v>190</v>
      </c>
      <c r="P469" s="6" t="s">
        <v>1997</v>
      </c>
      <c r="Q469" s="8" t="s">
        <v>45</v>
      </c>
      <c r="R469" s="10" t="s">
        <v>1166</v>
      </c>
      <c r="S469" s="11"/>
      <c r="T469" s="6"/>
      <c r="U469" s="24" t="str">
        <f>HYPERLINK("https://media.infra-m.ru/0944/0944208/cover/944208.jpg", "Обложка")</f>
        <v>Обложка</v>
      </c>
      <c r="V469" s="24" t="str">
        <f>HYPERLINK("https://znanium.ru/catalog/product/2202555", "Ознакомиться")</f>
        <v>Ознакомиться</v>
      </c>
      <c r="W469" s="8"/>
      <c r="X469" s="6"/>
      <c r="Y469" s="6"/>
      <c r="Z469" s="6"/>
      <c r="AA469" s="6" t="s">
        <v>213</v>
      </c>
      <c r="AB469" s="8"/>
    </row>
    <row r="470" spans="1:28" s="4" customFormat="1" ht="42" customHeight="1">
      <c r="A470" s="5">
        <v>0</v>
      </c>
      <c r="B470" s="6" t="s">
        <v>2856</v>
      </c>
      <c r="C470" s="7">
        <v>2196</v>
      </c>
      <c r="D470" s="8" t="s">
        <v>2857</v>
      </c>
      <c r="E470" s="8" t="s">
        <v>2858</v>
      </c>
      <c r="F470" s="8"/>
      <c r="G470" s="6" t="s">
        <v>62</v>
      </c>
      <c r="H470" s="6" t="s">
        <v>39</v>
      </c>
      <c r="I470" s="8" t="s">
        <v>629</v>
      </c>
      <c r="J470" s="9">
        <v>1</v>
      </c>
      <c r="K470" s="9">
        <v>528</v>
      </c>
      <c r="L470" s="9">
        <v>2020</v>
      </c>
      <c r="M470" s="8" t="s">
        <v>2859</v>
      </c>
      <c r="N470" s="8" t="s">
        <v>177</v>
      </c>
      <c r="O470" s="8" t="s">
        <v>190</v>
      </c>
      <c r="P470" s="6" t="s">
        <v>1997</v>
      </c>
      <c r="Q470" s="8" t="s">
        <v>45</v>
      </c>
      <c r="R470" s="10" t="s">
        <v>1166</v>
      </c>
      <c r="S470" s="11"/>
      <c r="T470" s="6"/>
      <c r="U470" s="24" t="str">
        <f>HYPERLINK("https://media.infra-m.ru/1052/1052439/cover/1052439.jpg", "Обложка")</f>
        <v>Обложка</v>
      </c>
      <c r="V470" s="24" t="str">
        <f>HYPERLINK("https://znanium.ru/catalog/product/2202555", "Ознакомиться")</f>
        <v>Ознакомиться</v>
      </c>
      <c r="W470" s="8"/>
      <c r="X470" s="6"/>
      <c r="Y470" s="6"/>
      <c r="Z470" s="6"/>
      <c r="AA470" s="6" t="s">
        <v>1688</v>
      </c>
      <c r="AB470" s="8"/>
    </row>
    <row r="471" spans="1:28" s="4" customFormat="1" ht="42" customHeight="1">
      <c r="A471" s="5">
        <v>0</v>
      </c>
      <c r="B471" s="6" t="s">
        <v>2860</v>
      </c>
      <c r="C471" s="7">
        <v>2460</v>
      </c>
      <c r="D471" s="8" t="s">
        <v>2861</v>
      </c>
      <c r="E471" s="8" t="s">
        <v>2862</v>
      </c>
      <c r="F471" s="8" t="s">
        <v>627</v>
      </c>
      <c r="G471" s="6" t="s">
        <v>62</v>
      </c>
      <c r="H471" s="6" t="s">
        <v>39</v>
      </c>
      <c r="I471" s="8" t="s">
        <v>629</v>
      </c>
      <c r="J471" s="9">
        <v>1</v>
      </c>
      <c r="K471" s="9">
        <v>622</v>
      </c>
      <c r="L471" s="9">
        <v>2022</v>
      </c>
      <c r="M471" s="8" t="s">
        <v>2859</v>
      </c>
      <c r="N471" s="8" t="s">
        <v>177</v>
      </c>
      <c r="O471" s="8" t="s">
        <v>190</v>
      </c>
      <c r="P471" s="6" t="s">
        <v>1997</v>
      </c>
      <c r="Q471" s="8" t="s">
        <v>45</v>
      </c>
      <c r="R471" s="10" t="s">
        <v>1166</v>
      </c>
      <c r="S471" s="11"/>
      <c r="T471" s="6"/>
      <c r="U471" s="24" t="str">
        <f>HYPERLINK("https://media.infra-m.ru/1845/1845330/cover/1845330.jpg", "Обложка")</f>
        <v>Обложка</v>
      </c>
      <c r="V471" s="24" t="str">
        <f>HYPERLINK("https://znanium.ru/catalog/product/2202555", "Ознакомиться")</f>
        <v>Ознакомиться</v>
      </c>
      <c r="W471" s="8"/>
      <c r="X471" s="6"/>
      <c r="Y471" s="6"/>
      <c r="Z471" s="6"/>
      <c r="AA471" s="6" t="s">
        <v>2863</v>
      </c>
      <c r="AB471" s="8"/>
    </row>
    <row r="472" spans="1:28" s="4" customFormat="1" ht="42" customHeight="1">
      <c r="A472" s="5">
        <v>0</v>
      </c>
      <c r="B472" s="6" t="s">
        <v>2864</v>
      </c>
      <c r="C472" s="7">
        <v>1956</v>
      </c>
      <c r="D472" s="8" t="s">
        <v>2865</v>
      </c>
      <c r="E472" s="8" t="s">
        <v>2866</v>
      </c>
      <c r="F472" s="8" t="s">
        <v>627</v>
      </c>
      <c r="G472" s="6" t="s">
        <v>38</v>
      </c>
      <c r="H472" s="6" t="s">
        <v>39</v>
      </c>
      <c r="I472" s="8" t="s">
        <v>629</v>
      </c>
      <c r="J472" s="9">
        <v>1</v>
      </c>
      <c r="K472" s="9">
        <v>436</v>
      </c>
      <c r="L472" s="9">
        <v>2023</v>
      </c>
      <c r="M472" s="8" t="s">
        <v>2867</v>
      </c>
      <c r="N472" s="8" t="s">
        <v>177</v>
      </c>
      <c r="O472" s="8" t="s">
        <v>178</v>
      </c>
      <c r="P472" s="6" t="s">
        <v>1997</v>
      </c>
      <c r="Q472" s="8" t="s">
        <v>45</v>
      </c>
      <c r="R472" s="10" t="s">
        <v>2850</v>
      </c>
      <c r="S472" s="11"/>
      <c r="T472" s="6"/>
      <c r="U472" s="24" t="str">
        <f>HYPERLINK("https://media.infra-m.ru/1833/1833418/cover/1833418.jpg", "Обложка")</f>
        <v>Обложка</v>
      </c>
      <c r="V472" s="24" t="str">
        <f>HYPERLINK("https://znanium.ru/catalog/product/2133526", "Ознакомиться")</f>
        <v>Ознакомиться</v>
      </c>
      <c r="W472" s="8"/>
      <c r="X472" s="6"/>
      <c r="Y472" s="6"/>
      <c r="Z472" s="6"/>
      <c r="AA472" s="6" t="s">
        <v>1167</v>
      </c>
      <c r="AB472" s="8"/>
    </row>
    <row r="473" spans="1:28" s="4" customFormat="1" ht="42" customHeight="1">
      <c r="A473" s="5">
        <v>0</v>
      </c>
      <c r="B473" s="6" t="s">
        <v>2868</v>
      </c>
      <c r="C473" s="7">
        <v>3720</v>
      </c>
      <c r="D473" s="8" t="s">
        <v>2869</v>
      </c>
      <c r="E473" s="8" t="s">
        <v>2870</v>
      </c>
      <c r="F473" s="8"/>
      <c r="G473" s="6" t="s">
        <v>96</v>
      </c>
      <c r="H473" s="6" t="s">
        <v>39</v>
      </c>
      <c r="I473" s="8" t="s">
        <v>629</v>
      </c>
      <c r="J473" s="9">
        <v>1</v>
      </c>
      <c r="K473" s="9">
        <v>828</v>
      </c>
      <c r="L473" s="9">
        <v>2024</v>
      </c>
      <c r="M473" s="8" t="s">
        <v>2871</v>
      </c>
      <c r="N473" s="8" t="s">
        <v>177</v>
      </c>
      <c r="O473" s="8" t="s">
        <v>178</v>
      </c>
      <c r="P473" s="6" t="s">
        <v>1997</v>
      </c>
      <c r="Q473" s="8" t="s">
        <v>45</v>
      </c>
      <c r="R473" s="10" t="s">
        <v>2872</v>
      </c>
      <c r="S473" s="11"/>
      <c r="T473" s="6"/>
      <c r="U473" s="24" t="str">
        <f>HYPERLINK("https://media.infra-m.ru/2149/2149584/cover/2149584.jpg", "Обложка")</f>
        <v>Обложка</v>
      </c>
      <c r="V473" s="24" t="str">
        <f>HYPERLINK("https://znanium.ru/catalog/product/2149584", "Ознакомиться")</f>
        <v>Ознакомиться</v>
      </c>
      <c r="W473" s="8"/>
      <c r="X473" s="6"/>
      <c r="Y473" s="6"/>
      <c r="Z473" s="6"/>
      <c r="AA473" s="6" t="s">
        <v>91</v>
      </c>
      <c r="AB473" s="8"/>
    </row>
    <row r="474" spans="1:28" s="4" customFormat="1" ht="42" customHeight="1">
      <c r="A474" s="5">
        <v>0</v>
      </c>
      <c r="B474" s="6" t="s">
        <v>2873</v>
      </c>
      <c r="C474" s="7">
        <v>1287.5999999999999</v>
      </c>
      <c r="D474" s="8" t="s">
        <v>2874</v>
      </c>
      <c r="E474" s="8" t="s">
        <v>2875</v>
      </c>
      <c r="F474" s="8"/>
      <c r="G474" s="6" t="s">
        <v>96</v>
      </c>
      <c r="H474" s="6" t="s">
        <v>167</v>
      </c>
      <c r="I474" s="8"/>
      <c r="J474" s="9">
        <v>1</v>
      </c>
      <c r="K474" s="9">
        <v>148</v>
      </c>
      <c r="L474" s="9">
        <v>2023</v>
      </c>
      <c r="M474" s="8" t="s">
        <v>2876</v>
      </c>
      <c r="N474" s="8" t="s">
        <v>119</v>
      </c>
      <c r="O474" s="8" t="s">
        <v>120</v>
      </c>
      <c r="P474" s="6" t="s">
        <v>248</v>
      </c>
      <c r="Q474" s="8" t="s">
        <v>45</v>
      </c>
      <c r="R474" s="10" t="s">
        <v>170</v>
      </c>
      <c r="S474" s="11"/>
      <c r="T474" s="6"/>
      <c r="U474" s="24" t="str">
        <f>HYPERLINK("https://media.infra-m.ru/2022/2022202/cover/2022202.jpg", "Обложка")</f>
        <v>Обложка</v>
      </c>
      <c r="V474" s="24" t="str">
        <f>HYPERLINK("https://znanium.ru/catalog/product/2001620", "Ознакомиться")</f>
        <v>Ознакомиться</v>
      </c>
      <c r="W474" s="8"/>
      <c r="X474" s="6"/>
      <c r="Y474" s="6"/>
      <c r="Z474" s="6"/>
      <c r="AA474" s="6" t="s">
        <v>91</v>
      </c>
      <c r="AB474" s="8"/>
    </row>
    <row r="475" spans="1:28" s="4" customFormat="1" ht="44.1" customHeight="1">
      <c r="A475" s="5">
        <v>0</v>
      </c>
      <c r="B475" s="6" t="s">
        <v>2877</v>
      </c>
      <c r="C475" s="7">
        <v>1084.8</v>
      </c>
      <c r="D475" s="8" t="s">
        <v>2878</v>
      </c>
      <c r="E475" s="8" t="s">
        <v>2879</v>
      </c>
      <c r="F475" s="8" t="s">
        <v>2880</v>
      </c>
      <c r="G475" s="6" t="s">
        <v>38</v>
      </c>
      <c r="H475" s="6" t="s">
        <v>39</v>
      </c>
      <c r="I475" s="8" t="s">
        <v>40</v>
      </c>
      <c r="J475" s="9">
        <v>1</v>
      </c>
      <c r="K475" s="9">
        <v>174</v>
      </c>
      <c r="L475" s="9">
        <v>2026</v>
      </c>
      <c r="M475" s="8" t="s">
        <v>2881</v>
      </c>
      <c r="N475" s="8" t="s">
        <v>144</v>
      </c>
      <c r="O475" s="8" t="s">
        <v>145</v>
      </c>
      <c r="P475" s="6" t="s">
        <v>44</v>
      </c>
      <c r="Q475" s="8" t="s">
        <v>45</v>
      </c>
      <c r="R475" s="10" t="s">
        <v>2882</v>
      </c>
      <c r="S475" s="11"/>
      <c r="T475" s="6"/>
      <c r="U475" s="24" t="str">
        <f>HYPERLINK("https://media.infra-m.ru/2219/2219046/cover/2219046.jpg", "Обложка")</f>
        <v>Обложка</v>
      </c>
      <c r="V475" s="24" t="str">
        <f>HYPERLINK("https://znanium.ru/catalog/product/1008846", "Ознакомиться")</f>
        <v>Ознакомиться</v>
      </c>
      <c r="W475" s="8" t="s">
        <v>1290</v>
      </c>
      <c r="X475" s="6"/>
      <c r="Y475" s="6"/>
      <c r="Z475" s="6"/>
      <c r="AA475" s="6" t="s">
        <v>57</v>
      </c>
      <c r="AB475" s="8"/>
    </row>
    <row r="476" spans="1:28" s="4" customFormat="1" ht="42" customHeight="1">
      <c r="A476" s="5">
        <v>0</v>
      </c>
      <c r="B476" s="6" t="s">
        <v>2883</v>
      </c>
      <c r="C476" s="7">
        <v>1560</v>
      </c>
      <c r="D476" s="8" t="s">
        <v>2884</v>
      </c>
      <c r="E476" s="8" t="s">
        <v>2885</v>
      </c>
      <c r="F476" s="8" t="s">
        <v>2886</v>
      </c>
      <c r="G476" s="6" t="s">
        <v>96</v>
      </c>
      <c r="H476" s="6" t="s">
        <v>39</v>
      </c>
      <c r="I476" s="8" t="s">
        <v>1126</v>
      </c>
      <c r="J476" s="9">
        <v>1</v>
      </c>
      <c r="K476" s="9">
        <v>234</v>
      </c>
      <c r="L476" s="9">
        <v>2026</v>
      </c>
      <c r="M476" s="8" t="s">
        <v>2887</v>
      </c>
      <c r="N476" s="8" t="s">
        <v>42</v>
      </c>
      <c r="O476" s="8" t="s">
        <v>43</v>
      </c>
      <c r="P476" s="6" t="s">
        <v>44</v>
      </c>
      <c r="Q476" s="8" t="s">
        <v>45</v>
      </c>
      <c r="R476" s="10" t="s">
        <v>2888</v>
      </c>
      <c r="S476" s="11"/>
      <c r="T476" s="6"/>
      <c r="U476" s="24" t="str">
        <f>HYPERLINK("https://media.infra-m.ru/2204/2204422/cover/2204422.jpg", "Обложка")</f>
        <v>Обложка</v>
      </c>
      <c r="V476" s="24" t="str">
        <f>HYPERLINK("https://znanium.ru/catalog/product/2204422", "Ознакомиться")</f>
        <v>Ознакомиться</v>
      </c>
      <c r="W476" s="8" t="s">
        <v>322</v>
      </c>
      <c r="X476" s="6" t="s">
        <v>350</v>
      </c>
      <c r="Y476" s="6"/>
      <c r="Z476" s="6"/>
      <c r="AA476" s="6" t="s">
        <v>345</v>
      </c>
      <c r="AB476" s="8"/>
    </row>
    <row r="477" spans="1:28" s="4" customFormat="1" ht="51.95" customHeight="1">
      <c r="A477" s="5">
        <v>0</v>
      </c>
      <c r="B477" s="6" t="s">
        <v>2889</v>
      </c>
      <c r="C477" s="13">
        <v>744</v>
      </c>
      <c r="D477" s="8" t="s">
        <v>2890</v>
      </c>
      <c r="E477" s="8" t="s">
        <v>2891</v>
      </c>
      <c r="F477" s="8" t="s">
        <v>2892</v>
      </c>
      <c r="G477" s="6" t="s">
        <v>38</v>
      </c>
      <c r="H477" s="6" t="s">
        <v>39</v>
      </c>
      <c r="I477" s="8" t="s">
        <v>40</v>
      </c>
      <c r="J477" s="9">
        <v>1</v>
      </c>
      <c r="K477" s="9">
        <v>130</v>
      </c>
      <c r="L477" s="9">
        <v>2024</v>
      </c>
      <c r="M477" s="8" t="s">
        <v>2893</v>
      </c>
      <c r="N477" s="8" t="s">
        <v>42</v>
      </c>
      <c r="O477" s="8" t="s">
        <v>43</v>
      </c>
      <c r="P477" s="6" t="s">
        <v>44</v>
      </c>
      <c r="Q477" s="8" t="s">
        <v>45</v>
      </c>
      <c r="R477" s="10" t="s">
        <v>2894</v>
      </c>
      <c r="S477" s="11"/>
      <c r="T477" s="6"/>
      <c r="U477" s="24" t="str">
        <f>HYPERLINK("https://media.infra-m.ru/2136/2136967/cover/2136967.jpg", "Обложка")</f>
        <v>Обложка</v>
      </c>
      <c r="V477" s="24" t="str">
        <f>HYPERLINK("https://znanium.ru/catalog/product/2136967", "Ознакомиться")</f>
        <v>Ознакомиться</v>
      </c>
      <c r="W477" s="8" t="s">
        <v>2895</v>
      </c>
      <c r="X477" s="6"/>
      <c r="Y477" s="6"/>
      <c r="Z477" s="6"/>
      <c r="AA477" s="6" t="s">
        <v>138</v>
      </c>
      <c r="AB477" s="8" t="s">
        <v>2896</v>
      </c>
    </row>
    <row r="478" spans="1:28" s="4" customFormat="1" ht="51.95" customHeight="1">
      <c r="A478" s="5">
        <v>0</v>
      </c>
      <c r="B478" s="6" t="s">
        <v>2897</v>
      </c>
      <c r="C478" s="7">
        <v>2140.8000000000002</v>
      </c>
      <c r="D478" s="8" t="s">
        <v>2898</v>
      </c>
      <c r="E478" s="8" t="s">
        <v>2899</v>
      </c>
      <c r="F478" s="8" t="s">
        <v>2900</v>
      </c>
      <c r="G478" s="6" t="s">
        <v>96</v>
      </c>
      <c r="H478" s="6" t="s">
        <v>167</v>
      </c>
      <c r="I478" s="8"/>
      <c r="J478" s="9">
        <v>1</v>
      </c>
      <c r="K478" s="9">
        <v>344</v>
      </c>
      <c r="L478" s="9">
        <v>2026</v>
      </c>
      <c r="M478" s="8" t="s">
        <v>2901</v>
      </c>
      <c r="N478" s="8" t="s">
        <v>119</v>
      </c>
      <c r="O478" s="8" t="s">
        <v>120</v>
      </c>
      <c r="P478" s="6" t="s">
        <v>248</v>
      </c>
      <c r="Q478" s="8" t="s">
        <v>45</v>
      </c>
      <c r="R478" s="10" t="s">
        <v>2902</v>
      </c>
      <c r="S478" s="11"/>
      <c r="T478" s="6"/>
      <c r="U478" s="24" t="str">
        <f>HYPERLINK("https://media.infra-m.ru/2215/2215911/cover/2215911.jpg", "Обложка")</f>
        <v>Обложка</v>
      </c>
      <c r="V478" s="24" t="str">
        <f>HYPERLINK("https://znanium.ru/catalog/product/1904427", "Ознакомиться")</f>
        <v>Ознакомиться</v>
      </c>
      <c r="W478" s="8" t="s">
        <v>505</v>
      </c>
      <c r="X478" s="6"/>
      <c r="Y478" s="6"/>
      <c r="Z478" s="6"/>
      <c r="AA478" s="6" t="s">
        <v>83</v>
      </c>
      <c r="AB478" s="8"/>
    </row>
    <row r="479" spans="1:28" s="4" customFormat="1" ht="44.1" customHeight="1">
      <c r="A479" s="5">
        <v>0</v>
      </c>
      <c r="B479" s="6" t="s">
        <v>2903</v>
      </c>
      <c r="C479" s="7">
        <v>2320.8000000000002</v>
      </c>
      <c r="D479" s="8" t="s">
        <v>2904</v>
      </c>
      <c r="E479" s="8" t="s">
        <v>2905</v>
      </c>
      <c r="F479" s="8" t="s">
        <v>2906</v>
      </c>
      <c r="G479" s="6" t="s">
        <v>38</v>
      </c>
      <c r="H479" s="6" t="s">
        <v>39</v>
      </c>
      <c r="I479" s="8" t="s">
        <v>40</v>
      </c>
      <c r="J479" s="9">
        <v>1</v>
      </c>
      <c r="K479" s="9">
        <v>372</v>
      </c>
      <c r="L479" s="9">
        <v>2025</v>
      </c>
      <c r="M479" s="8" t="s">
        <v>2907</v>
      </c>
      <c r="N479" s="8" t="s">
        <v>144</v>
      </c>
      <c r="O479" s="8" t="s">
        <v>145</v>
      </c>
      <c r="P479" s="6" t="s">
        <v>44</v>
      </c>
      <c r="Q479" s="8" t="s">
        <v>45</v>
      </c>
      <c r="R479" s="10" t="s">
        <v>2908</v>
      </c>
      <c r="S479" s="11"/>
      <c r="T479" s="6"/>
      <c r="U479" s="24" t="str">
        <f>HYPERLINK("https://media.infra-m.ru/2204/2204891/cover/2204891.jpg", "Обложка")</f>
        <v>Обложка</v>
      </c>
      <c r="V479" s="24" t="str">
        <f>HYPERLINK("https://znanium.ru/catalog/product/1007072", "Ознакомиться")</f>
        <v>Ознакомиться</v>
      </c>
      <c r="W479" s="8" t="s">
        <v>2909</v>
      </c>
      <c r="X479" s="6"/>
      <c r="Y479" s="6"/>
      <c r="Z479" s="6"/>
      <c r="AA479" s="6" t="s">
        <v>391</v>
      </c>
      <c r="AB479" s="8"/>
    </row>
    <row r="480" spans="1:28" s="4" customFormat="1" ht="51.95" customHeight="1">
      <c r="A480" s="5">
        <v>0</v>
      </c>
      <c r="B480" s="6" t="s">
        <v>2910</v>
      </c>
      <c r="C480" s="7">
        <v>2188.8000000000002</v>
      </c>
      <c r="D480" s="8" t="s">
        <v>2911</v>
      </c>
      <c r="E480" s="8" t="s">
        <v>2912</v>
      </c>
      <c r="F480" s="8" t="s">
        <v>2913</v>
      </c>
      <c r="G480" s="6" t="s">
        <v>38</v>
      </c>
      <c r="H480" s="6" t="s">
        <v>39</v>
      </c>
      <c r="I480" s="8" t="s">
        <v>40</v>
      </c>
      <c r="J480" s="9">
        <v>1</v>
      </c>
      <c r="K480" s="9">
        <v>403</v>
      </c>
      <c r="L480" s="9">
        <v>2023</v>
      </c>
      <c r="M480" s="8" t="s">
        <v>2914</v>
      </c>
      <c r="N480" s="8" t="s">
        <v>144</v>
      </c>
      <c r="O480" s="8" t="s">
        <v>145</v>
      </c>
      <c r="P480" s="6" t="s">
        <v>44</v>
      </c>
      <c r="Q480" s="8" t="s">
        <v>45</v>
      </c>
      <c r="R480" s="10" t="s">
        <v>2915</v>
      </c>
      <c r="S480" s="11"/>
      <c r="T480" s="6"/>
      <c r="U480" s="24" t="str">
        <f>HYPERLINK("https://media.infra-m.ru/2021/2021411/cover/2021411.jpg", "Обложка")</f>
        <v>Обложка</v>
      </c>
      <c r="V480" s="24" t="str">
        <f>HYPERLINK("https://znanium.ru/catalog/product/1031176", "Ознакомиться")</f>
        <v>Ознакомиться</v>
      </c>
      <c r="W480" s="8" t="s">
        <v>2401</v>
      </c>
      <c r="X480" s="6"/>
      <c r="Y480" s="6"/>
      <c r="Z480" s="6"/>
      <c r="AA480" s="6" t="s">
        <v>391</v>
      </c>
      <c r="AB480" s="8"/>
    </row>
    <row r="481" spans="1:28" s="4" customFormat="1" ht="44.1" customHeight="1">
      <c r="A481" s="5">
        <v>0</v>
      </c>
      <c r="B481" s="6" t="s">
        <v>2916</v>
      </c>
      <c r="C481" s="7">
        <v>1193.9000000000001</v>
      </c>
      <c r="D481" s="8" t="s">
        <v>2917</v>
      </c>
      <c r="E481" s="8" t="s">
        <v>2918</v>
      </c>
      <c r="F481" s="8" t="s">
        <v>2919</v>
      </c>
      <c r="G481" s="6" t="s">
        <v>38</v>
      </c>
      <c r="H481" s="6" t="s">
        <v>39</v>
      </c>
      <c r="I481" s="8" t="s">
        <v>40</v>
      </c>
      <c r="J481" s="9">
        <v>1</v>
      </c>
      <c r="K481" s="9">
        <v>212</v>
      </c>
      <c r="L481" s="9">
        <v>2023</v>
      </c>
      <c r="M481" s="8" t="s">
        <v>2920</v>
      </c>
      <c r="N481" s="8" t="s">
        <v>144</v>
      </c>
      <c r="O481" s="8" t="s">
        <v>145</v>
      </c>
      <c r="P481" s="6" t="s">
        <v>44</v>
      </c>
      <c r="Q481" s="8" t="s">
        <v>45</v>
      </c>
      <c r="R481" s="10" t="s">
        <v>2320</v>
      </c>
      <c r="S481" s="11"/>
      <c r="T481" s="6"/>
      <c r="U481" s="24" t="str">
        <f>HYPERLINK("https://media.infra-m.ru/1915/1915662/cover/1915662.jpg", "Обложка")</f>
        <v>Обложка</v>
      </c>
      <c r="V481" s="24" t="str">
        <f>HYPERLINK("https://znanium.ru/catalog/product/1876368", "Ознакомиться")</f>
        <v>Ознакомиться</v>
      </c>
      <c r="W481" s="8" t="s">
        <v>74</v>
      </c>
      <c r="X481" s="6"/>
      <c r="Y481" s="6"/>
      <c r="Z481" s="6"/>
      <c r="AA481" s="6" t="s">
        <v>91</v>
      </c>
      <c r="AB481" s="8"/>
    </row>
    <row r="482" spans="1:28" s="4" customFormat="1" ht="42" customHeight="1">
      <c r="A482" s="5">
        <v>0</v>
      </c>
      <c r="B482" s="6" t="s">
        <v>2921</v>
      </c>
      <c r="C482" s="13">
        <v>660</v>
      </c>
      <c r="D482" s="8" t="s">
        <v>2922</v>
      </c>
      <c r="E482" s="8" t="s">
        <v>2923</v>
      </c>
      <c r="F482" s="8" t="s">
        <v>2924</v>
      </c>
      <c r="G482" s="6" t="s">
        <v>38</v>
      </c>
      <c r="H482" s="6" t="s">
        <v>39</v>
      </c>
      <c r="I482" s="8" t="s">
        <v>40</v>
      </c>
      <c r="J482" s="9">
        <v>1</v>
      </c>
      <c r="K482" s="9">
        <v>140</v>
      </c>
      <c r="L482" s="9">
        <v>2022</v>
      </c>
      <c r="M482" s="8" t="s">
        <v>2925</v>
      </c>
      <c r="N482" s="8" t="s">
        <v>144</v>
      </c>
      <c r="O482" s="8" t="s">
        <v>145</v>
      </c>
      <c r="P482" s="6" t="s">
        <v>44</v>
      </c>
      <c r="Q482" s="8" t="s">
        <v>45</v>
      </c>
      <c r="R482" s="10" t="s">
        <v>2926</v>
      </c>
      <c r="S482" s="11"/>
      <c r="T482" s="6"/>
      <c r="U482" s="24" t="str">
        <f>HYPERLINK("https://media.infra-m.ru/1850/1850138/cover/1850138.jpg", "Обложка")</f>
        <v>Обложка</v>
      </c>
      <c r="V482" s="24" t="str">
        <f>HYPERLINK("https://znanium.ru/catalog/product/1850138", "Ознакомиться")</f>
        <v>Ознакомиться</v>
      </c>
      <c r="W482" s="8" t="s">
        <v>1022</v>
      </c>
      <c r="X482" s="6"/>
      <c r="Y482" s="6"/>
      <c r="Z482" s="6"/>
      <c r="AA482" s="6" t="s">
        <v>412</v>
      </c>
      <c r="AB482" s="8"/>
    </row>
    <row r="483" spans="1:28" s="4" customFormat="1" ht="42" customHeight="1">
      <c r="A483" s="5">
        <v>0</v>
      </c>
      <c r="B483" s="6" t="s">
        <v>2927</v>
      </c>
      <c r="C483" s="13">
        <v>528</v>
      </c>
      <c r="D483" s="8" t="s">
        <v>2928</v>
      </c>
      <c r="E483" s="8" t="s">
        <v>2929</v>
      </c>
      <c r="F483" s="8" t="s">
        <v>2924</v>
      </c>
      <c r="G483" s="6" t="s">
        <v>38</v>
      </c>
      <c r="H483" s="6" t="s">
        <v>39</v>
      </c>
      <c r="I483" s="8" t="s">
        <v>40</v>
      </c>
      <c r="J483" s="9">
        <v>1</v>
      </c>
      <c r="K483" s="9">
        <v>140</v>
      </c>
      <c r="L483" s="9">
        <v>2017</v>
      </c>
      <c r="M483" s="8" t="s">
        <v>2930</v>
      </c>
      <c r="N483" s="8" t="s">
        <v>144</v>
      </c>
      <c r="O483" s="8" t="s">
        <v>145</v>
      </c>
      <c r="P483" s="6" t="s">
        <v>44</v>
      </c>
      <c r="Q483" s="8" t="s">
        <v>45</v>
      </c>
      <c r="R483" s="10" t="s">
        <v>2926</v>
      </c>
      <c r="S483" s="11"/>
      <c r="T483" s="6"/>
      <c r="U483" s="24" t="str">
        <f>HYPERLINK("https://media.infra-m.ru/0854/0854334/cover/854334.jpg", "Обложка")</f>
        <v>Обложка</v>
      </c>
      <c r="V483" s="24" t="str">
        <f>HYPERLINK("https://znanium.ru/catalog/product/1850138", "Ознакомиться")</f>
        <v>Ознакомиться</v>
      </c>
      <c r="W483" s="8" t="s">
        <v>1022</v>
      </c>
      <c r="X483" s="6"/>
      <c r="Y483" s="6"/>
      <c r="Z483" s="6"/>
      <c r="AA483" s="6" t="s">
        <v>227</v>
      </c>
      <c r="AB483" s="8"/>
    </row>
    <row r="484" spans="1:28" s="4" customFormat="1" ht="42" customHeight="1">
      <c r="A484" s="5">
        <v>0</v>
      </c>
      <c r="B484" s="6" t="s">
        <v>2931</v>
      </c>
      <c r="C484" s="7">
        <v>1229.3</v>
      </c>
      <c r="D484" s="8" t="s">
        <v>2932</v>
      </c>
      <c r="E484" s="8" t="s">
        <v>2933</v>
      </c>
      <c r="F484" s="8" t="s">
        <v>53</v>
      </c>
      <c r="G484" s="6" t="s">
        <v>38</v>
      </c>
      <c r="H484" s="6" t="s">
        <v>39</v>
      </c>
      <c r="I484" s="8" t="s">
        <v>40</v>
      </c>
      <c r="J484" s="9">
        <v>1</v>
      </c>
      <c r="K484" s="9">
        <v>217</v>
      </c>
      <c r="L484" s="9">
        <v>2024</v>
      </c>
      <c r="M484" s="8" t="s">
        <v>2934</v>
      </c>
      <c r="N484" s="8" t="s">
        <v>42</v>
      </c>
      <c r="O484" s="8" t="s">
        <v>43</v>
      </c>
      <c r="P484" s="6" t="s">
        <v>44</v>
      </c>
      <c r="Q484" s="8" t="s">
        <v>45</v>
      </c>
      <c r="R484" s="10" t="s">
        <v>2935</v>
      </c>
      <c r="S484" s="11"/>
      <c r="T484" s="6"/>
      <c r="U484" s="24" t="str">
        <f>HYPERLINK("https://media.infra-m.ru/2080/2080498/cover/2080498.jpg", "Обложка")</f>
        <v>Обложка</v>
      </c>
      <c r="V484" s="24" t="str">
        <f>HYPERLINK("https://znanium.ru/catalog/product/2069322", "Ознакомиться")</f>
        <v>Ознакомиться</v>
      </c>
      <c r="W484" s="8" t="s">
        <v>56</v>
      </c>
      <c r="X484" s="6"/>
      <c r="Y484" s="6"/>
      <c r="Z484" s="6"/>
      <c r="AA484" s="6" t="s">
        <v>129</v>
      </c>
      <c r="AB484" s="8"/>
    </row>
    <row r="485" spans="1:28" s="4" customFormat="1" ht="44.1" customHeight="1">
      <c r="A485" s="5">
        <v>0</v>
      </c>
      <c r="B485" s="6" t="s">
        <v>2936</v>
      </c>
      <c r="C485" s="13">
        <v>624</v>
      </c>
      <c r="D485" s="8" t="s">
        <v>2937</v>
      </c>
      <c r="E485" s="8" t="s">
        <v>2938</v>
      </c>
      <c r="F485" s="8" t="s">
        <v>2939</v>
      </c>
      <c r="G485" s="6" t="s">
        <v>38</v>
      </c>
      <c r="H485" s="6" t="s">
        <v>39</v>
      </c>
      <c r="I485" s="8" t="s">
        <v>40</v>
      </c>
      <c r="J485" s="9">
        <v>1</v>
      </c>
      <c r="K485" s="9">
        <v>104</v>
      </c>
      <c r="L485" s="9">
        <v>2024</v>
      </c>
      <c r="M485" s="8" t="s">
        <v>2940</v>
      </c>
      <c r="N485" s="8" t="s">
        <v>144</v>
      </c>
      <c r="O485" s="8" t="s">
        <v>145</v>
      </c>
      <c r="P485" s="6" t="s">
        <v>44</v>
      </c>
      <c r="Q485" s="8" t="s">
        <v>45</v>
      </c>
      <c r="R485" s="10" t="s">
        <v>2941</v>
      </c>
      <c r="S485" s="11"/>
      <c r="T485" s="6"/>
      <c r="U485" s="24" t="str">
        <f>HYPERLINK("https://media.infra-m.ru/2052/2052444/cover/2052444.jpg", "Обложка")</f>
        <v>Обложка</v>
      </c>
      <c r="V485" s="24" t="str">
        <f>HYPERLINK("https://znanium.ru/catalog/product/2052444", "Ознакомиться")</f>
        <v>Ознакомиться</v>
      </c>
      <c r="W485" s="8" t="s">
        <v>2511</v>
      </c>
      <c r="X485" s="6"/>
      <c r="Y485" s="6"/>
      <c r="Z485" s="6"/>
      <c r="AA485" s="6" t="s">
        <v>213</v>
      </c>
      <c r="AB485" s="8"/>
    </row>
    <row r="486" spans="1:28" s="4" customFormat="1" ht="44.1" customHeight="1">
      <c r="A486" s="5">
        <v>0</v>
      </c>
      <c r="B486" s="6" t="s">
        <v>2942</v>
      </c>
      <c r="C486" s="13">
        <v>869.9</v>
      </c>
      <c r="D486" s="8" t="s">
        <v>2943</v>
      </c>
      <c r="E486" s="8" t="s">
        <v>2944</v>
      </c>
      <c r="F486" s="8" t="s">
        <v>2945</v>
      </c>
      <c r="G486" s="6" t="s">
        <v>38</v>
      </c>
      <c r="H486" s="6" t="s">
        <v>39</v>
      </c>
      <c r="I486" s="8" t="s">
        <v>40</v>
      </c>
      <c r="J486" s="9">
        <v>1</v>
      </c>
      <c r="K486" s="9">
        <v>160</v>
      </c>
      <c r="L486" s="9">
        <v>2023</v>
      </c>
      <c r="M486" s="8" t="s">
        <v>2946</v>
      </c>
      <c r="N486" s="8" t="s">
        <v>42</v>
      </c>
      <c r="O486" s="8" t="s">
        <v>43</v>
      </c>
      <c r="P486" s="6" t="s">
        <v>44</v>
      </c>
      <c r="Q486" s="8" t="s">
        <v>45</v>
      </c>
      <c r="R486" s="10" t="s">
        <v>335</v>
      </c>
      <c r="S486" s="11"/>
      <c r="T486" s="6"/>
      <c r="U486" s="24" t="str">
        <f>HYPERLINK("https://media.infra-m.ru/1911/1911171/cover/1911171.jpg", "Обложка")</f>
        <v>Обложка</v>
      </c>
      <c r="V486" s="24" t="str">
        <f>HYPERLINK("https://znanium.ru/catalog/product/935507", "Ознакомиться")</f>
        <v>Ознакомиться</v>
      </c>
      <c r="W486" s="8" t="s">
        <v>56</v>
      </c>
      <c r="X486" s="6"/>
      <c r="Y486" s="6"/>
      <c r="Z486" s="6"/>
      <c r="AA486" s="6" t="s">
        <v>183</v>
      </c>
      <c r="AB486" s="8"/>
    </row>
    <row r="487" spans="1:28" s="4" customFormat="1" ht="42" customHeight="1">
      <c r="A487" s="5">
        <v>0</v>
      </c>
      <c r="B487" s="6" t="s">
        <v>2947</v>
      </c>
      <c r="C487" s="7">
        <v>1248</v>
      </c>
      <c r="D487" s="8" t="s">
        <v>2948</v>
      </c>
      <c r="E487" s="8" t="s">
        <v>2949</v>
      </c>
      <c r="F487" s="8" t="s">
        <v>2950</v>
      </c>
      <c r="G487" s="6" t="s">
        <v>96</v>
      </c>
      <c r="H487" s="6" t="s">
        <v>39</v>
      </c>
      <c r="I487" s="8" t="s">
        <v>40</v>
      </c>
      <c r="J487" s="9">
        <v>1</v>
      </c>
      <c r="K487" s="9">
        <v>217</v>
      </c>
      <c r="L487" s="9">
        <v>2024</v>
      </c>
      <c r="M487" s="8" t="s">
        <v>2951</v>
      </c>
      <c r="N487" s="8" t="s">
        <v>42</v>
      </c>
      <c r="O487" s="8" t="s">
        <v>72</v>
      </c>
      <c r="P487" s="6" t="s">
        <v>44</v>
      </c>
      <c r="Q487" s="8" t="s">
        <v>45</v>
      </c>
      <c r="R487" s="10" t="s">
        <v>2952</v>
      </c>
      <c r="S487" s="11"/>
      <c r="T487" s="6"/>
      <c r="U487" s="24" t="str">
        <f>HYPERLINK("https://media.infra-m.ru/2079/2079759/cover/2079759.jpg", "Обложка")</f>
        <v>Обложка</v>
      </c>
      <c r="V487" s="24" t="str">
        <f>HYPERLINK("https://znanium.ru/catalog/product/2079759", "Ознакомиться")</f>
        <v>Ознакомиться</v>
      </c>
      <c r="W487" s="8" t="s">
        <v>2953</v>
      </c>
      <c r="X487" s="6"/>
      <c r="Y487" s="6"/>
      <c r="Z487" s="6"/>
      <c r="AA487" s="6" t="s">
        <v>48</v>
      </c>
      <c r="AB487" s="8" t="s">
        <v>2954</v>
      </c>
    </row>
    <row r="488" spans="1:28" s="4" customFormat="1" ht="51.95" customHeight="1">
      <c r="A488" s="5">
        <v>0</v>
      </c>
      <c r="B488" s="6" t="s">
        <v>2955</v>
      </c>
      <c r="C488" s="7">
        <v>1060.8</v>
      </c>
      <c r="D488" s="8" t="s">
        <v>2956</v>
      </c>
      <c r="E488" s="8" t="s">
        <v>2957</v>
      </c>
      <c r="F488" s="8" t="s">
        <v>2958</v>
      </c>
      <c r="G488" s="6" t="s">
        <v>38</v>
      </c>
      <c r="H488" s="6" t="s">
        <v>188</v>
      </c>
      <c r="I488" s="8"/>
      <c r="J488" s="9">
        <v>1</v>
      </c>
      <c r="K488" s="9">
        <v>176</v>
      </c>
      <c r="L488" s="9">
        <v>2025</v>
      </c>
      <c r="M488" s="8" t="s">
        <v>2959</v>
      </c>
      <c r="N488" s="8" t="s">
        <v>42</v>
      </c>
      <c r="O488" s="8" t="s">
        <v>89</v>
      </c>
      <c r="P488" s="6" t="s">
        <v>44</v>
      </c>
      <c r="Q488" s="8" t="s">
        <v>45</v>
      </c>
      <c r="R488" s="10" t="s">
        <v>2960</v>
      </c>
      <c r="S488" s="11"/>
      <c r="T488" s="6"/>
      <c r="U488" s="24" t="str">
        <f>HYPERLINK("https://media.infra-m.ru/2159/2159182/cover/2159182.jpg", "Обложка")</f>
        <v>Обложка</v>
      </c>
      <c r="V488" s="12"/>
      <c r="W488" s="8" t="s">
        <v>2961</v>
      </c>
      <c r="X488" s="6"/>
      <c r="Y488" s="6"/>
      <c r="Z488" s="6"/>
      <c r="AA488" s="6" t="s">
        <v>75</v>
      </c>
      <c r="AB488" s="8"/>
    </row>
    <row r="489" spans="1:28" s="4" customFormat="1" ht="42" customHeight="1">
      <c r="A489" s="5">
        <v>0</v>
      </c>
      <c r="B489" s="6" t="s">
        <v>2962</v>
      </c>
      <c r="C489" s="13">
        <v>857.9</v>
      </c>
      <c r="D489" s="8" t="s">
        <v>2963</v>
      </c>
      <c r="E489" s="8" t="s">
        <v>2964</v>
      </c>
      <c r="F489" s="8" t="s">
        <v>1661</v>
      </c>
      <c r="G489" s="6" t="s">
        <v>96</v>
      </c>
      <c r="H489" s="6" t="s">
        <v>39</v>
      </c>
      <c r="I489" s="8" t="s">
        <v>1529</v>
      </c>
      <c r="J489" s="9">
        <v>1</v>
      </c>
      <c r="K489" s="9">
        <v>203</v>
      </c>
      <c r="L489" s="9">
        <v>2020</v>
      </c>
      <c r="M489" s="8" t="s">
        <v>2965</v>
      </c>
      <c r="N489" s="8" t="s">
        <v>42</v>
      </c>
      <c r="O489" s="8" t="s">
        <v>72</v>
      </c>
      <c r="P489" s="6" t="s">
        <v>44</v>
      </c>
      <c r="Q489" s="8" t="s">
        <v>45</v>
      </c>
      <c r="R489" s="10" t="s">
        <v>902</v>
      </c>
      <c r="S489" s="11"/>
      <c r="T489" s="6"/>
      <c r="U489" s="24" t="str">
        <f>HYPERLINK("https://media.infra-m.ru/1045/1045746/cover/1045746.jpg", "Обложка")</f>
        <v>Обложка</v>
      </c>
      <c r="V489" s="12"/>
      <c r="W489" s="8" t="s">
        <v>1532</v>
      </c>
      <c r="X489" s="6"/>
      <c r="Y489" s="6"/>
      <c r="Z489" s="6"/>
      <c r="AA489" s="6" t="s">
        <v>2966</v>
      </c>
      <c r="AB489" s="8"/>
    </row>
    <row r="490" spans="1:28" s="4" customFormat="1" ht="42" customHeight="1">
      <c r="A490" s="5">
        <v>0</v>
      </c>
      <c r="B490" s="6" t="s">
        <v>2967</v>
      </c>
      <c r="C490" s="7">
        <v>1188</v>
      </c>
      <c r="D490" s="8" t="s">
        <v>2968</v>
      </c>
      <c r="E490" s="8" t="s">
        <v>2969</v>
      </c>
      <c r="F490" s="8" t="s">
        <v>2970</v>
      </c>
      <c r="G490" s="6" t="s">
        <v>2971</v>
      </c>
      <c r="H490" s="6" t="s">
        <v>39</v>
      </c>
      <c r="I490" s="8"/>
      <c r="J490" s="9">
        <v>1</v>
      </c>
      <c r="K490" s="9">
        <v>191</v>
      </c>
      <c r="L490" s="9">
        <v>2023</v>
      </c>
      <c r="M490" s="8" t="s">
        <v>2972</v>
      </c>
      <c r="N490" s="8" t="s">
        <v>42</v>
      </c>
      <c r="O490" s="8" t="s">
        <v>72</v>
      </c>
      <c r="P490" s="6" t="s">
        <v>44</v>
      </c>
      <c r="Q490" s="8" t="s">
        <v>45</v>
      </c>
      <c r="R490" s="10" t="s">
        <v>1027</v>
      </c>
      <c r="S490" s="11"/>
      <c r="T490" s="6"/>
      <c r="U490" s="24" t="str">
        <f>HYPERLINK("https://media.infra-m.ru/2131/2131471/cover/2131471.jpg", "Обложка")</f>
        <v>Обложка</v>
      </c>
      <c r="V490" s="24" t="str">
        <f>HYPERLINK("https://znanium.ru/catalog/product/2114827", "Ознакомиться")</f>
        <v>Ознакомиться</v>
      </c>
      <c r="W490" s="8" t="s">
        <v>156</v>
      </c>
      <c r="X490" s="6"/>
      <c r="Y490" s="6"/>
      <c r="Z490" s="6"/>
      <c r="AA490" s="6" t="s">
        <v>91</v>
      </c>
      <c r="AB490" s="8"/>
    </row>
    <row r="491" spans="1:28" s="4" customFormat="1" ht="44.1" customHeight="1">
      <c r="A491" s="5">
        <v>0</v>
      </c>
      <c r="B491" s="6" t="s">
        <v>2973</v>
      </c>
      <c r="C491" s="7">
        <v>1073.9000000000001</v>
      </c>
      <c r="D491" s="8" t="s">
        <v>2974</v>
      </c>
      <c r="E491" s="8" t="s">
        <v>2975</v>
      </c>
      <c r="F491" s="8" t="s">
        <v>2976</v>
      </c>
      <c r="G491" s="6" t="s">
        <v>38</v>
      </c>
      <c r="H491" s="6" t="s">
        <v>39</v>
      </c>
      <c r="I491" s="8" t="s">
        <v>40</v>
      </c>
      <c r="J491" s="9">
        <v>1</v>
      </c>
      <c r="K491" s="9">
        <v>198</v>
      </c>
      <c r="L491" s="9">
        <v>2023</v>
      </c>
      <c r="M491" s="8" t="s">
        <v>2977</v>
      </c>
      <c r="N491" s="8" t="s">
        <v>42</v>
      </c>
      <c r="O491" s="8" t="s">
        <v>43</v>
      </c>
      <c r="P491" s="6" t="s">
        <v>44</v>
      </c>
      <c r="Q491" s="8" t="s">
        <v>45</v>
      </c>
      <c r="R491" s="10" t="s">
        <v>1699</v>
      </c>
      <c r="S491" s="11"/>
      <c r="T491" s="6"/>
      <c r="U491" s="24" t="str">
        <f>HYPERLINK("https://media.infra-m.ru/1976/1976149/cover/1976149.jpg", "Обложка")</f>
        <v>Обложка</v>
      </c>
      <c r="V491" s="24" t="str">
        <f>HYPERLINK("https://znanium.ru/catalog/product/1044190", "Ознакомиться")</f>
        <v>Ознакомиться</v>
      </c>
      <c r="W491" s="8" t="s">
        <v>156</v>
      </c>
      <c r="X491" s="6"/>
      <c r="Y491" s="6"/>
      <c r="Z491" s="6"/>
      <c r="AA491" s="6" t="s">
        <v>129</v>
      </c>
      <c r="AB491" s="8"/>
    </row>
    <row r="492" spans="1:28" s="4" customFormat="1" ht="44.1" customHeight="1">
      <c r="A492" s="5">
        <v>0</v>
      </c>
      <c r="B492" s="6" t="s">
        <v>2978</v>
      </c>
      <c r="C492" s="7">
        <v>1188</v>
      </c>
      <c r="D492" s="8" t="s">
        <v>2979</v>
      </c>
      <c r="E492" s="8" t="s">
        <v>2980</v>
      </c>
      <c r="F492" s="8" t="s">
        <v>2981</v>
      </c>
      <c r="G492" s="6" t="s">
        <v>38</v>
      </c>
      <c r="H492" s="6" t="s">
        <v>39</v>
      </c>
      <c r="I492" s="8" t="s">
        <v>40</v>
      </c>
      <c r="J492" s="9">
        <v>1</v>
      </c>
      <c r="K492" s="9">
        <v>171</v>
      </c>
      <c r="L492" s="9">
        <v>2026</v>
      </c>
      <c r="M492" s="8" t="s">
        <v>2982</v>
      </c>
      <c r="N492" s="8" t="s">
        <v>144</v>
      </c>
      <c r="O492" s="8" t="s">
        <v>145</v>
      </c>
      <c r="P492" s="6" t="s">
        <v>44</v>
      </c>
      <c r="Q492" s="8" t="s">
        <v>45</v>
      </c>
      <c r="R492" s="10" t="s">
        <v>2320</v>
      </c>
      <c r="S492" s="11"/>
      <c r="T492" s="6"/>
      <c r="U492" s="24" t="str">
        <f>HYPERLINK("https://media.infra-m.ru/2206/2206491/cover/2206491.jpg", "Обложка")</f>
        <v>Обложка</v>
      </c>
      <c r="V492" s="24" t="str">
        <f>HYPERLINK("https://znanium.ru/catalog/product/2206491", "Ознакомиться")</f>
        <v>Ознакомиться</v>
      </c>
      <c r="W492" s="8" t="s">
        <v>315</v>
      </c>
      <c r="X492" s="6" t="s">
        <v>436</v>
      </c>
      <c r="Y492" s="6"/>
      <c r="Z492" s="6"/>
      <c r="AA492" s="6" t="s">
        <v>360</v>
      </c>
      <c r="AB492" s="8"/>
    </row>
    <row r="493" spans="1:28" s="4" customFormat="1" ht="42" customHeight="1">
      <c r="A493" s="5">
        <v>0</v>
      </c>
      <c r="B493" s="6" t="s">
        <v>2983</v>
      </c>
      <c r="C493" s="13">
        <v>684</v>
      </c>
      <c r="D493" s="8" t="s">
        <v>2984</v>
      </c>
      <c r="E493" s="8" t="s">
        <v>2985</v>
      </c>
      <c r="F493" s="8" t="s">
        <v>2986</v>
      </c>
      <c r="G493" s="6" t="s">
        <v>38</v>
      </c>
      <c r="H493" s="6" t="s">
        <v>39</v>
      </c>
      <c r="I493" s="8" t="s">
        <v>40</v>
      </c>
      <c r="J493" s="9">
        <v>1</v>
      </c>
      <c r="K493" s="9">
        <v>89</v>
      </c>
      <c r="L493" s="9">
        <v>2025</v>
      </c>
      <c r="M493" s="8" t="s">
        <v>2987</v>
      </c>
      <c r="N493" s="8" t="s">
        <v>42</v>
      </c>
      <c r="O493" s="8" t="s">
        <v>89</v>
      </c>
      <c r="P493" s="6" t="s">
        <v>44</v>
      </c>
      <c r="Q493" s="8" t="s">
        <v>45</v>
      </c>
      <c r="R493" s="10" t="s">
        <v>2988</v>
      </c>
      <c r="S493" s="11"/>
      <c r="T493" s="6"/>
      <c r="U493" s="24" t="str">
        <f>HYPERLINK("https://media.infra-m.ru/2217/2217144/cover/2217144.jpg", "Обложка")</f>
        <v>Обложка</v>
      </c>
      <c r="V493" s="24" t="str">
        <f>HYPERLINK("https://znanium.ru/catalog/product/2217144", "Ознакомиться")</f>
        <v>Ознакомиться</v>
      </c>
      <c r="W493" s="8" t="s">
        <v>358</v>
      </c>
      <c r="X493" s="6"/>
      <c r="Y493" s="6"/>
      <c r="Z493" s="6"/>
      <c r="AA493" s="6" t="s">
        <v>227</v>
      </c>
      <c r="AB493" s="8"/>
    </row>
    <row r="494" spans="1:28" s="4" customFormat="1" ht="51.95" customHeight="1">
      <c r="A494" s="5">
        <v>0</v>
      </c>
      <c r="B494" s="6" t="s">
        <v>2989</v>
      </c>
      <c r="C494" s="13">
        <v>460.8</v>
      </c>
      <c r="D494" s="8" t="s">
        <v>2990</v>
      </c>
      <c r="E494" s="8" t="s">
        <v>2991</v>
      </c>
      <c r="F494" s="8" t="s">
        <v>2992</v>
      </c>
      <c r="G494" s="6" t="s">
        <v>38</v>
      </c>
      <c r="H494" s="6" t="s">
        <v>39</v>
      </c>
      <c r="I494" s="8" t="s">
        <v>40</v>
      </c>
      <c r="J494" s="9">
        <v>1</v>
      </c>
      <c r="K494" s="9">
        <v>83</v>
      </c>
      <c r="L494" s="9">
        <v>2024</v>
      </c>
      <c r="M494" s="8" t="s">
        <v>2993</v>
      </c>
      <c r="N494" s="8" t="s">
        <v>119</v>
      </c>
      <c r="O494" s="8" t="s">
        <v>120</v>
      </c>
      <c r="P494" s="6" t="s">
        <v>248</v>
      </c>
      <c r="Q494" s="8" t="s">
        <v>45</v>
      </c>
      <c r="R494" s="10" t="s">
        <v>767</v>
      </c>
      <c r="S494" s="11"/>
      <c r="T494" s="6"/>
      <c r="U494" s="24" t="str">
        <f>HYPERLINK("https://media.infra-m.ru/2102/2102694/cover/2102694.jpg", "Обложка")</f>
        <v>Обложка</v>
      </c>
      <c r="V494" s="24" t="str">
        <f>HYPERLINK("https://znanium.ru/catalog/product/907623", "Ознакомиться")</f>
        <v>Ознакомиться</v>
      </c>
      <c r="W494" s="8" t="s">
        <v>256</v>
      </c>
      <c r="X494" s="6"/>
      <c r="Y494" s="6"/>
      <c r="Z494" s="6"/>
      <c r="AA494" s="6" t="s">
        <v>273</v>
      </c>
      <c r="AB494" s="8"/>
    </row>
    <row r="495" spans="1:28" s="4" customFormat="1" ht="44.1" customHeight="1">
      <c r="A495" s="5">
        <v>0</v>
      </c>
      <c r="B495" s="6" t="s">
        <v>2994</v>
      </c>
      <c r="C495" s="7">
        <v>1020</v>
      </c>
      <c r="D495" s="8" t="s">
        <v>2995</v>
      </c>
      <c r="E495" s="8" t="s">
        <v>2996</v>
      </c>
      <c r="F495" s="8" t="s">
        <v>2997</v>
      </c>
      <c r="G495" s="6" t="s">
        <v>62</v>
      </c>
      <c r="H495" s="6" t="s">
        <v>39</v>
      </c>
      <c r="I495" s="8" t="s">
        <v>757</v>
      </c>
      <c r="J495" s="9">
        <v>1</v>
      </c>
      <c r="K495" s="9">
        <v>176</v>
      </c>
      <c r="L495" s="9">
        <v>2023</v>
      </c>
      <c r="M495" s="8" t="s">
        <v>2998</v>
      </c>
      <c r="N495" s="8" t="s">
        <v>119</v>
      </c>
      <c r="O495" s="8" t="s">
        <v>120</v>
      </c>
      <c r="P495" s="6" t="s">
        <v>199</v>
      </c>
      <c r="Q495" s="8" t="s">
        <v>784</v>
      </c>
      <c r="R495" s="10" t="s">
        <v>1035</v>
      </c>
      <c r="S495" s="11"/>
      <c r="T495" s="6"/>
      <c r="U495" s="24" t="str">
        <f>HYPERLINK("https://media.infra-m.ru/1905/1905876/cover/1905876.jpg", "Обложка")</f>
        <v>Обложка</v>
      </c>
      <c r="V495" s="24" t="str">
        <f>HYPERLINK("https://znanium.ru/catalog/product/1905876", "Ознакомиться")</f>
        <v>Ознакомиться</v>
      </c>
      <c r="W495" s="8" t="s">
        <v>760</v>
      </c>
      <c r="X495" s="6"/>
      <c r="Y495" s="6"/>
      <c r="Z495" s="6"/>
      <c r="AA495" s="6" t="s">
        <v>273</v>
      </c>
      <c r="AB495" s="8"/>
    </row>
    <row r="496" spans="1:28" s="4" customFormat="1" ht="42" customHeight="1">
      <c r="A496" s="5">
        <v>0</v>
      </c>
      <c r="B496" s="6" t="s">
        <v>2999</v>
      </c>
      <c r="C496" s="13">
        <v>772.8</v>
      </c>
      <c r="D496" s="8" t="s">
        <v>3000</v>
      </c>
      <c r="E496" s="8" t="s">
        <v>3001</v>
      </c>
      <c r="F496" s="8" t="s">
        <v>3002</v>
      </c>
      <c r="G496" s="6" t="s">
        <v>38</v>
      </c>
      <c r="H496" s="6" t="s">
        <v>39</v>
      </c>
      <c r="I496" s="8" t="s">
        <v>40</v>
      </c>
      <c r="J496" s="9">
        <v>1</v>
      </c>
      <c r="K496" s="9">
        <v>140</v>
      </c>
      <c r="L496" s="9">
        <v>2024</v>
      </c>
      <c r="M496" s="8" t="s">
        <v>3003</v>
      </c>
      <c r="N496" s="8" t="s">
        <v>144</v>
      </c>
      <c r="O496" s="8" t="s">
        <v>145</v>
      </c>
      <c r="P496" s="6" t="s">
        <v>44</v>
      </c>
      <c r="Q496" s="8" t="s">
        <v>45</v>
      </c>
      <c r="R496" s="10" t="s">
        <v>1098</v>
      </c>
      <c r="S496" s="11"/>
      <c r="T496" s="6"/>
      <c r="U496" s="24" t="str">
        <f>HYPERLINK("https://media.infra-m.ru/2090/2090022/cover/2090022.jpg", "Обложка")</f>
        <v>Обложка</v>
      </c>
      <c r="V496" s="24" t="str">
        <f>HYPERLINK("https://znanium.ru/catalog/product/2090022", "Ознакомиться")</f>
        <v>Ознакомиться</v>
      </c>
      <c r="W496" s="8" t="s">
        <v>1532</v>
      </c>
      <c r="X496" s="6"/>
      <c r="Y496" s="6"/>
      <c r="Z496" s="6"/>
      <c r="AA496" s="6" t="s">
        <v>264</v>
      </c>
      <c r="AB496" s="8"/>
    </row>
    <row r="497" spans="1:28" s="4" customFormat="1" ht="51.95" customHeight="1">
      <c r="A497" s="5">
        <v>0</v>
      </c>
      <c r="B497" s="6" t="s">
        <v>3004</v>
      </c>
      <c r="C497" s="7">
        <v>1344</v>
      </c>
      <c r="D497" s="8" t="s">
        <v>3005</v>
      </c>
      <c r="E497" s="8" t="s">
        <v>3006</v>
      </c>
      <c r="F497" s="8" t="s">
        <v>3007</v>
      </c>
      <c r="G497" s="6" t="s">
        <v>38</v>
      </c>
      <c r="H497" s="6" t="s">
        <v>39</v>
      </c>
      <c r="I497" s="8" t="s">
        <v>40</v>
      </c>
      <c r="J497" s="9">
        <v>1</v>
      </c>
      <c r="K497" s="9">
        <v>246</v>
      </c>
      <c r="L497" s="9">
        <v>2022</v>
      </c>
      <c r="M497" s="8" t="s">
        <v>3008</v>
      </c>
      <c r="N497" s="8" t="s">
        <v>144</v>
      </c>
      <c r="O497" s="8" t="s">
        <v>145</v>
      </c>
      <c r="P497" s="6" t="s">
        <v>44</v>
      </c>
      <c r="Q497" s="8" t="s">
        <v>45</v>
      </c>
      <c r="R497" s="10" t="s">
        <v>3009</v>
      </c>
      <c r="S497" s="11"/>
      <c r="T497" s="6"/>
      <c r="U497" s="24" t="str">
        <f>HYPERLINK("https://media.infra-m.ru/1851/1851555/cover/1851555.jpg", "Обложка")</f>
        <v>Обложка</v>
      </c>
      <c r="V497" s="24" t="str">
        <f>HYPERLINK("https://znanium.ru/catalog/product/1851555", "Ознакомиться")</f>
        <v>Ознакомиться</v>
      </c>
      <c r="W497" s="8" t="s">
        <v>3010</v>
      </c>
      <c r="X497" s="6"/>
      <c r="Y497" s="6"/>
      <c r="Z497" s="6"/>
      <c r="AA497" s="6" t="s">
        <v>83</v>
      </c>
      <c r="AB497" s="8" t="s">
        <v>3011</v>
      </c>
    </row>
    <row r="498" spans="1:28" s="4" customFormat="1" ht="51.95" customHeight="1">
      <c r="A498" s="5">
        <v>0</v>
      </c>
      <c r="B498" s="6" t="s">
        <v>3012</v>
      </c>
      <c r="C498" s="13">
        <v>792</v>
      </c>
      <c r="D498" s="8" t="s">
        <v>3013</v>
      </c>
      <c r="E498" s="8" t="s">
        <v>3014</v>
      </c>
      <c r="F498" s="8" t="s">
        <v>3015</v>
      </c>
      <c r="G498" s="6" t="s">
        <v>38</v>
      </c>
      <c r="H498" s="6" t="s">
        <v>39</v>
      </c>
      <c r="I498" s="8" t="s">
        <v>40</v>
      </c>
      <c r="J498" s="9">
        <v>1</v>
      </c>
      <c r="K498" s="9">
        <v>128</v>
      </c>
      <c r="L498" s="9">
        <v>2026</v>
      </c>
      <c r="M498" s="8" t="s">
        <v>3016</v>
      </c>
      <c r="N498" s="8" t="s">
        <v>144</v>
      </c>
      <c r="O498" s="8" t="s">
        <v>145</v>
      </c>
      <c r="P498" s="6" t="s">
        <v>44</v>
      </c>
      <c r="Q498" s="8" t="s">
        <v>45</v>
      </c>
      <c r="R498" s="10" t="s">
        <v>3017</v>
      </c>
      <c r="S498" s="11"/>
      <c r="T498" s="6"/>
      <c r="U498" s="24" t="str">
        <f>HYPERLINK("https://media.infra-m.ru/2197/2197256/cover/2197256.jpg", "Обложка")</f>
        <v>Обложка</v>
      </c>
      <c r="V498" s="24" t="str">
        <f>HYPERLINK("https://znanium.ru/catalog/product/2197256", "Ознакомиться")</f>
        <v>Ознакомиться</v>
      </c>
      <c r="W498" s="8" t="s">
        <v>241</v>
      </c>
      <c r="X498" s="6"/>
      <c r="Y498" s="6"/>
      <c r="Z498" s="6"/>
      <c r="AA498" s="6" t="s">
        <v>242</v>
      </c>
      <c r="AB498" s="8"/>
    </row>
    <row r="499" spans="1:28" s="4" customFormat="1" ht="51.95" customHeight="1">
      <c r="A499" s="5">
        <v>0</v>
      </c>
      <c r="B499" s="6" t="s">
        <v>3018</v>
      </c>
      <c r="C499" s="13">
        <v>904.8</v>
      </c>
      <c r="D499" s="8" t="s">
        <v>3019</v>
      </c>
      <c r="E499" s="8" t="s">
        <v>3020</v>
      </c>
      <c r="F499" s="8" t="s">
        <v>3021</v>
      </c>
      <c r="G499" s="6" t="s">
        <v>38</v>
      </c>
      <c r="H499" s="6" t="s">
        <v>39</v>
      </c>
      <c r="I499" s="8" t="s">
        <v>40</v>
      </c>
      <c r="J499" s="9">
        <v>1</v>
      </c>
      <c r="K499" s="9">
        <v>160</v>
      </c>
      <c r="L499" s="9">
        <v>2024</v>
      </c>
      <c r="M499" s="8" t="s">
        <v>3022</v>
      </c>
      <c r="N499" s="8" t="s">
        <v>42</v>
      </c>
      <c r="O499" s="8" t="s">
        <v>43</v>
      </c>
      <c r="P499" s="6" t="s">
        <v>44</v>
      </c>
      <c r="Q499" s="8" t="s">
        <v>45</v>
      </c>
      <c r="R499" s="10" t="s">
        <v>3023</v>
      </c>
      <c r="S499" s="11"/>
      <c r="T499" s="6"/>
      <c r="U499" s="24" t="str">
        <f>HYPERLINK("https://media.infra-m.ru/2134/2134158/cover/2134158.jpg", "Обложка")</f>
        <v>Обложка</v>
      </c>
      <c r="V499" s="24" t="str">
        <f>HYPERLINK("https://znanium.ru/catalog/product/1010058", "Ознакомиться")</f>
        <v>Ознакомиться</v>
      </c>
      <c r="W499" s="8" t="s">
        <v>2132</v>
      </c>
      <c r="X499" s="6"/>
      <c r="Y499" s="6"/>
      <c r="Z499" s="6"/>
      <c r="AA499" s="6" t="s">
        <v>193</v>
      </c>
      <c r="AB499" s="8"/>
    </row>
    <row r="500" spans="1:28" s="4" customFormat="1" ht="42" customHeight="1">
      <c r="A500" s="5">
        <v>0</v>
      </c>
      <c r="B500" s="6" t="s">
        <v>3024</v>
      </c>
      <c r="C500" s="7">
        <v>1188</v>
      </c>
      <c r="D500" s="8" t="s">
        <v>3025</v>
      </c>
      <c r="E500" s="8" t="s">
        <v>3026</v>
      </c>
      <c r="F500" s="8" t="s">
        <v>3027</v>
      </c>
      <c r="G500" s="6" t="s">
        <v>38</v>
      </c>
      <c r="H500" s="6" t="s">
        <v>39</v>
      </c>
      <c r="I500" s="8" t="s">
        <v>40</v>
      </c>
      <c r="J500" s="9">
        <v>1</v>
      </c>
      <c r="K500" s="9">
        <v>197</v>
      </c>
      <c r="L500" s="9">
        <v>2025</v>
      </c>
      <c r="M500" s="8" t="s">
        <v>3028</v>
      </c>
      <c r="N500" s="8" t="s">
        <v>42</v>
      </c>
      <c r="O500" s="8" t="s">
        <v>43</v>
      </c>
      <c r="P500" s="6" t="s">
        <v>44</v>
      </c>
      <c r="Q500" s="8" t="s">
        <v>45</v>
      </c>
      <c r="R500" s="10" t="s">
        <v>3029</v>
      </c>
      <c r="S500" s="11"/>
      <c r="T500" s="6"/>
      <c r="U500" s="24" t="str">
        <f>HYPERLINK("https://media.infra-m.ru/2140/2140133/cover/2140133.jpg", "Обложка")</f>
        <v>Обложка</v>
      </c>
      <c r="V500" s="24" t="str">
        <f>HYPERLINK("https://znanium.ru/catalog/product/2140133", "Ознакомиться")</f>
        <v>Ознакомиться</v>
      </c>
      <c r="W500" s="8" t="s">
        <v>156</v>
      </c>
      <c r="X500" s="6"/>
      <c r="Y500" s="6"/>
      <c r="Z500" s="6"/>
      <c r="AA500" s="6" t="s">
        <v>360</v>
      </c>
      <c r="AB500" s="8" t="s">
        <v>49</v>
      </c>
    </row>
    <row r="501" spans="1:28" s="4" customFormat="1" ht="51.95" customHeight="1">
      <c r="A501" s="5">
        <v>0</v>
      </c>
      <c r="B501" s="6" t="s">
        <v>3030</v>
      </c>
      <c r="C501" s="7">
        <v>1732.8</v>
      </c>
      <c r="D501" s="8" t="s">
        <v>3031</v>
      </c>
      <c r="E501" s="8" t="s">
        <v>3032</v>
      </c>
      <c r="F501" s="8" t="s">
        <v>3033</v>
      </c>
      <c r="G501" s="6" t="s">
        <v>38</v>
      </c>
      <c r="H501" s="6" t="s">
        <v>39</v>
      </c>
      <c r="I501" s="8" t="s">
        <v>982</v>
      </c>
      <c r="J501" s="9">
        <v>1</v>
      </c>
      <c r="K501" s="9">
        <v>314</v>
      </c>
      <c r="L501" s="9">
        <v>2023</v>
      </c>
      <c r="M501" s="8" t="s">
        <v>3034</v>
      </c>
      <c r="N501" s="8" t="s">
        <v>144</v>
      </c>
      <c r="O501" s="8" t="s">
        <v>145</v>
      </c>
      <c r="P501" s="6" t="s">
        <v>44</v>
      </c>
      <c r="Q501" s="8" t="s">
        <v>45</v>
      </c>
      <c r="R501" s="10" t="s">
        <v>3035</v>
      </c>
      <c r="S501" s="11"/>
      <c r="T501" s="6"/>
      <c r="U501" s="24" t="str">
        <f>HYPERLINK("https://media.infra-m.ru/2080/2080771/cover/2080771.jpg", "Обложка")</f>
        <v>Обложка</v>
      </c>
      <c r="V501" s="24" t="str">
        <f>HYPERLINK("https://znanium.ru/catalog/product/1971879", "Ознакомиться")</f>
        <v>Ознакомиться</v>
      </c>
      <c r="W501" s="8" t="s">
        <v>147</v>
      </c>
      <c r="X501" s="6"/>
      <c r="Y501" s="6"/>
      <c r="Z501" s="6"/>
      <c r="AA501" s="6" t="s">
        <v>57</v>
      </c>
      <c r="AB501" s="8"/>
    </row>
    <row r="502" spans="1:28" s="4" customFormat="1" ht="51.95" customHeight="1">
      <c r="A502" s="5">
        <v>0</v>
      </c>
      <c r="B502" s="6" t="s">
        <v>3036</v>
      </c>
      <c r="C502" s="13">
        <v>516</v>
      </c>
      <c r="D502" s="8" t="s">
        <v>3037</v>
      </c>
      <c r="E502" s="8" t="s">
        <v>3038</v>
      </c>
      <c r="F502" s="8" t="s">
        <v>3039</v>
      </c>
      <c r="G502" s="6" t="s">
        <v>38</v>
      </c>
      <c r="H502" s="6" t="s">
        <v>39</v>
      </c>
      <c r="I502" s="8" t="s">
        <v>40</v>
      </c>
      <c r="J502" s="9">
        <v>1</v>
      </c>
      <c r="K502" s="9">
        <v>76</v>
      </c>
      <c r="L502" s="9">
        <v>2024</v>
      </c>
      <c r="M502" s="8" t="s">
        <v>3040</v>
      </c>
      <c r="N502" s="8" t="s">
        <v>144</v>
      </c>
      <c r="O502" s="8" t="s">
        <v>145</v>
      </c>
      <c r="P502" s="6" t="s">
        <v>44</v>
      </c>
      <c r="Q502" s="8" t="s">
        <v>45</v>
      </c>
      <c r="R502" s="10" t="s">
        <v>3041</v>
      </c>
      <c r="S502" s="11"/>
      <c r="T502" s="6"/>
      <c r="U502" s="24" t="str">
        <f>HYPERLINK("https://media.infra-m.ru/2147/2147707/cover/2147707.jpg", "Обложка")</f>
        <v>Обложка</v>
      </c>
      <c r="V502" s="24" t="str">
        <f>HYPERLINK("https://znanium.ru/catalog/product/2147707", "Ознакомиться")</f>
        <v>Ознакомиться</v>
      </c>
      <c r="W502" s="8" t="s">
        <v>390</v>
      </c>
      <c r="X502" s="6"/>
      <c r="Y502" s="6"/>
      <c r="Z502" s="6"/>
      <c r="AA502" s="6" t="s">
        <v>138</v>
      </c>
      <c r="AB502" s="8"/>
    </row>
    <row r="503" spans="1:28" s="4" customFormat="1" ht="42" customHeight="1">
      <c r="A503" s="5">
        <v>0</v>
      </c>
      <c r="B503" s="6" t="s">
        <v>3042</v>
      </c>
      <c r="C503" s="7">
        <v>1188</v>
      </c>
      <c r="D503" s="8" t="s">
        <v>3043</v>
      </c>
      <c r="E503" s="8" t="s">
        <v>3044</v>
      </c>
      <c r="F503" s="8" t="s">
        <v>3045</v>
      </c>
      <c r="G503" s="6" t="s">
        <v>96</v>
      </c>
      <c r="H503" s="6" t="s">
        <v>39</v>
      </c>
      <c r="I503" s="8" t="s">
        <v>40</v>
      </c>
      <c r="J503" s="9">
        <v>1</v>
      </c>
      <c r="K503" s="9">
        <v>184</v>
      </c>
      <c r="L503" s="9">
        <v>2025</v>
      </c>
      <c r="M503" s="8" t="s">
        <v>3046</v>
      </c>
      <c r="N503" s="8" t="s">
        <v>144</v>
      </c>
      <c r="O503" s="8" t="s">
        <v>145</v>
      </c>
      <c r="P503" s="6" t="s">
        <v>44</v>
      </c>
      <c r="Q503" s="8" t="s">
        <v>45</v>
      </c>
      <c r="R503" s="10" t="s">
        <v>3047</v>
      </c>
      <c r="S503" s="11"/>
      <c r="T503" s="6"/>
      <c r="U503" s="24" t="str">
        <f>HYPERLINK("https://media.infra-m.ru/2180/2180635/cover/2180635.jpg", "Обложка")</f>
        <v>Обложка</v>
      </c>
      <c r="V503" s="24" t="str">
        <f>HYPERLINK("https://znanium.ru/catalog/product/2180635", "Ознакомиться")</f>
        <v>Ознакомиться</v>
      </c>
      <c r="W503" s="8" t="s">
        <v>594</v>
      </c>
      <c r="X503" s="6" t="s">
        <v>1077</v>
      </c>
      <c r="Y503" s="6"/>
      <c r="Z503" s="6"/>
      <c r="AA503" s="6" t="s">
        <v>360</v>
      </c>
      <c r="AB503" s="8"/>
    </row>
    <row r="504" spans="1:28" s="4" customFormat="1" ht="42" customHeight="1">
      <c r="A504" s="5">
        <v>0</v>
      </c>
      <c r="B504" s="6" t="s">
        <v>3048</v>
      </c>
      <c r="C504" s="7">
        <v>2758.8</v>
      </c>
      <c r="D504" s="8" t="s">
        <v>3049</v>
      </c>
      <c r="E504" s="8" t="s">
        <v>3050</v>
      </c>
      <c r="F504" s="8"/>
      <c r="G504" s="6" t="s">
        <v>38</v>
      </c>
      <c r="H504" s="6" t="s">
        <v>39</v>
      </c>
      <c r="I504" s="8"/>
      <c r="J504" s="9">
        <v>1</v>
      </c>
      <c r="K504" s="9">
        <v>44</v>
      </c>
      <c r="L504" s="9">
        <v>2024</v>
      </c>
      <c r="M504" s="8"/>
      <c r="N504" s="8" t="s">
        <v>144</v>
      </c>
      <c r="O504" s="8" t="s">
        <v>145</v>
      </c>
      <c r="P504" s="6" t="s">
        <v>121</v>
      </c>
      <c r="Q504" s="8"/>
      <c r="R504" s="10"/>
      <c r="S504" s="11"/>
      <c r="T504" s="6"/>
      <c r="U504" s="24" t="str">
        <f>HYPERLINK("https://media.infra-m.ru/2081/2081592/cover/2081592.jpg", "Обложка")</f>
        <v>Обложка</v>
      </c>
      <c r="V504" s="24" t="str">
        <f>HYPERLINK("https://znanium.ru/catalog/product/2174162", "Ознакомиться")</f>
        <v>Ознакомиться</v>
      </c>
      <c r="W504" s="8"/>
      <c r="X504" s="6"/>
      <c r="Y504" s="6"/>
      <c r="Z504" s="6"/>
      <c r="AA504" s="6" t="s">
        <v>264</v>
      </c>
      <c r="AB504" s="8"/>
    </row>
    <row r="505" spans="1:28" s="4" customFormat="1" ht="42" customHeight="1">
      <c r="A505" s="5">
        <v>0</v>
      </c>
      <c r="B505" s="6" t="s">
        <v>3051</v>
      </c>
      <c r="C505" s="7">
        <v>2758.8</v>
      </c>
      <c r="D505" s="8" t="s">
        <v>3052</v>
      </c>
      <c r="E505" s="8" t="s">
        <v>3053</v>
      </c>
      <c r="F505" s="8"/>
      <c r="G505" s="6" t="s">
        <v>38</v>
      </c>
      <c r="H505" s="6" t="s">
        <v>39</v>
      </c>
      <c r="I505" s="8"/>
      <c r="J505" s="9">
        <v>1</v>
      </c>
      <c r="K505" s="9">
        <v>50</v>
      </c>
      <c r="L505" s="9">
        <v>2025</v>
      </c>
      <c r="M505" s="8"/>
      <c r="N505" s="8" t="s">
        <v>144</v>
      </c>
      <c r="O505" s="8" t="s">
        <v>145</v>
      </c>
      <c r="P505" s="6" t="s">
        <v>121</v>
      </c>
      <c r="Q505" s="8"/>
      <c r="R505" s="10"/>
      <c r="S505" s="11"/>
      <c r="T505" s="6"/>
      <c r="U505" s="24" t="str">
        <f>HYPERLINK("https://media.infra-m.ru/2174/2174162/cover/2174162.jpg", "Обложка")</f>
        <v>Обложка</v>
      </c>
      <c r="V505" s="24" t="str">
        <f>HYPERLINK("https://znanium.ru/catalog/product/2174162", "Ознакомиться")</f>
        <v>Ознакомиться</v>
      </c>
      <c r="W505" s="8"/>
      <c r="X505" s="6" t="s">
        <v>350</v>
      </c>
      <c r="Y505" s="6"/>
      <c r="Z505" s="6"/>
      <c r="AA505" s="6" t="s">
        <v>2045</v>
      </c>
      <c r="AB505" s="8"/>
    </row>
    <row r="506" spans="1:28" s="4" customFormat="1" ht="51.95" customHeight="1">
      <c r="A506" s="5">
        <v>0</v>
      </c>
      <c r="B506" s="6" t="s">
        <v>3054</v>
      </c>
      <c r="C506" s="13">
        <v>708</v>
      </c>
      <c r="D506" s="8" t="s">
        <v>3055</v>
      </c>
      <c r="E506" s="8" t="s">
        <v>3056</v>
      </c>
      <c r="F506" s="8" t="s">
        <v>3057</v>
      </c>
      <c r="G506" s="6" t="s">
        <v>38</v>
      </c>
      <c r="H506" s="6" t="s">
        <v>39</v>
      </c>
      <c r="I506" s="8" t="s">
        <v>40</v>
      </c>
      <c r="J506" s="9">
        <v>1</v>
      </c>
      <c r="K506" s="9">
        <v>128</v>
      </c>
      <c r="L506" s="9">
        <v>2024</v>
      </c>
      <c r="M506" s="8" t="s">
        <v>3058</v>
      </c>
      <c r="N506" s="8" t="s">
        <v>42</v>
      </c>
      <c r="O506" s="8" t="s">
        <v>72</v>
      </c>
      <c r="P506" s="6" t="s">
        <v>44</v>
      </c>
      <c r="Q506" s="8" t="s">
        <v>45</v>
      </c>
      <c r="R506" s="10" t="s">
        <v>3059</v>
      </c>
      <c r="S506" s="11"/>
      <c r="T506" s="6"/>
      <c r="U506" s="24" t="str">
        <f>HYPERLINK("https://media.infra-m.ru/2084/2084532/cover/2084532.jpg", "Обложка")</f>
        <v>Обложка</v>
      </c>
      <c r="V506" s="24" t="str">
        <f>HYPERLINK("https://znanium.ru/catalog/product/2084532", "Ознакомиться")</f>
        <v>Ознакомиться</v>
      </c>
      <c r="W506" s="8" t="s">
        <v>702</v>
      </c>
      <c r="X506" s="6"/>
      <c r="Y506" s="6"/>
      <c r="Z506" s="6"/>
      <c r="AA506" s="6" t="s">
        <v>264</v>
      </c>
      <c r="AB506" s="8"/>
    </row>
    <row r="507" spans="1:28" s="4" customFormat="1" ht="44.1" customHeight="1">
      <c r="A507" s="5">
        <v>0</v>
      </c>
      <c r="B507" s="6" t="s">
        <v>3060</v>
      </c>
      <c r="C507" s="7">
        <v>2416.8000000000002</v>
      </c>
      <c r="D507" s="8" t="s">
        <v>3061</v>
      </c>
      <c r="E507" s="8" t="s">
        <v>3062</v>
      </c>
      <c r="F507" s="8" t="s">
        <v>3063</v>
      </c>
      <c r="G507" s="6" t="s">
        <v>62</v>
      </c>
      <c r="H507" s="6" t="s">
        <v>39</v>
      </c>
      <c r="I507" s="8" t="s">
        <v>421</v>
      </c>
      <c r="J507" s="9">
        <v>1</v>
      </c>
      <c r="K507" s="9">
        <v>378</v>
      </c>
      <c r="L507" s="9">
        <v>2025</v>
      </c>
      <c r="M507" s="8" t="s">
        <v>3064</v>
      </c>
      <c r="N507" s="8" t="s">
        <v>42</v>
      </c>
      <c r="O507" s="8" t="s">
        <v>89</v>
      </c>
      <c r="P507" s="6" t="s">
        <v>425</v>
      </c>
      <c r="Q507" s="8"/>
      <c r="R507" s="10" t="s">
        <v>3065</v>
      </c>
      <c r="S507" s="11"/>
      <c r="T507" s="6"/>
      <c r="U507" s="24" t="str">
        <f>HYPERLINK("https://media.infra-m.ru/2213/2213133/cover/2213133.jpg", "Обложка")</f>
        <v>Обложка</v>
      </c>
      <c r="V507" s="24" t="str">
        <f>HYPERLINK("https://znanium.ru/catalog/product/2213132", "Ознакомиться")</f>
        <v>Ознакомиться</v>
      </c>
      <c r="W507" s="8" t="s">
        <v>1277</v>
      </c>
      <c r="X507" s="6"/>
      <c r="Y507" s="6"/>
      <c r="Z507" s="6"/>
      <c r="AA507" s="6" t="s">
        <v>360</v>
      </c>
      <c r="AB507" s="8"/>
    </row>
    <row r="508" spans="1:28" s="4" customFormat="1" ht="51.95" customHeight="1">
      <c r="A508" s="5">
        <v>0</v>
      </c>
      <c r="B508" s="6" t="s">
        <v>3066</v>
      </c>
      <c r="C508" s="7">
        <v>1140</v>
      </c>
      <c r="D508" s="8" t="s">
        <v>3067</v>
      </c>
      <c r="E508" s="8" t="s">
        <v>3068</v>
      </c>
      <c r="F508" s="8" t="s">
        <v>3069</v>
      </c>
      <c r="G508" s="6" t="s">
        <v>38</v>
      </c>
      <c r="H508" s="6" t="s">
        <v>39</v>
      </c>
      <c r="I508" s="8" t="s">
        <v>40</v>
      </c>
      <c r="J508" s="9">
        <v>1</v>
      </c>
      <c r="K508" s="9">
        <v>136</v>
      </c>
      <c r="L508" s="9">
        <v>2026</v>
      </c>
      <c r="M508" s="8" t="s">
        <v>3070</v>
      </c>
      <c r="N508" s="8" t="s">
        <v>42</v>
      </c>
      <c r="O508" s="8" t="s">
        <v>89</v>
      </c>
      <c r="P508" s="6" t="s">
        <v>44</v>
      </c>
      <c r="Q508" s="8" t="s">
        <v>45</v>
      </c>
      <c r="R508" s="10" t="s">
        <v>3071</v>
      </c>
      <c r="S508" s="11"/>
      <c r="T508" s="6"/>
      <c r="U508" s="24" t="str">
        <f>HYPERLINK("https://media.infra-m.ru/2227/2227050/cover/2227050.jpg", "Обложка")</f>
        <v>Обложка</v>
      </c>
      <c r="V508" s="24" t="str">
        <f>HYPERLINK("https://znanium.ru/catalog/product/2227050", "Ознакомиться")</f>
        <v>Ознакомиться</v>
      </c>
      <c r="W508" s="8" t="s">
        <v>1862</v>
      </c>
      <c r="X508" s="6"/>
      <c r="Y508" s="6"/>
      <c r="Z508" s="6"/>
      <c r="AA508" s="6" t="s">
        <v>360</v>
      </c>
      <c r="AB508" s="8"/>
    </row>
    <row r="509" spans="1:28" s="4" customFormat="1" ht="42" customHeight="1">
      <c r="A509" s="5">
        <v>0</v>
      </c>
      <c r="B509" s="6" t="s">
        <v>3072</v>
      </c>
      <c r="C509" s="7">
        <v>1836</v>
      </c>
      <c r="D509" s="8" t="s">
        <v>3073</v>
      </c>
      <c r="E509" s="8" t="s">
        <v>3074</v>
      </c>
      <c r="F509" s="8" t="s">
        <v>2393</v>
      </c>
      <c r="G509" s="6" t="s">
        <v>62</v>
      </c>
      <c r="H509" s="6" t="s">
        <v>39</v>
      </c>
      <c r="I509" s="8" t="s">
        <v>40</v>
      </c>
      <c r="J509" s="9">
        <v>1</v>
      </c>
      <c r="K509" s="9">
        <v>306</v>
      </c>
      <c r="L509" s="9">
        <v>2025</v>
      </c>
      <c r="M509" s="8" t="s">
        <v>3075</v>
      </c>
      <c r="N509" s="8" t="s">
        <v>42</v>
      </c>
      <c r="O509" s="8" t="s">
        <v>89</v>
      </c>
      <c r="P509" s="6" t="s">
        <v>44</v>
      </c>
      <c r="Q509" s="8" t="s">
        <v>45</v>
      </c>
      <c r="R509" s="10" t="s">
        <v>3076</v>
      </c>
      <c r="S509" s="11"/>
      <c r="T509" s="6"/>
      <c r="U509" s="24" t="str">
        <f>HYPERLINK("https://media.infra-m.ru/2159/2159171/cover/2159171.jpg", "Обложка")</f>
        <v>Обложка</v>
      </c>
      <c r="V509" s="24" t="str">
        <f>HYPERLINK("https://znanium.ru/catalog/product/2159171", "Ознакомиться")</f>
        <v>Ознакомиться</v>
      </c>
      <c r="W509" s="8" t="s">
        <v>358</v>
      </c>
      <c r="X509" s="6"/>
      <c r="Y509" s="6"/>
      <c r="Z509" s="6"/>
      <c r="AA509" s="6" t="s">
        <v>242</v>
      </c>
      <c r="AB509" s="8"/>
    </row>
    <row r="510" spans="1:28" s="4" customFormat="1" ht="42" customHeight="1">
      <c r="A510" s="5">
        <v>0</v>
      </c>
      <c r="B510" s="6" t="s">
        <v>3077</v>
      </c>
      <c r="C510" s="7">
        <v>1224</v>
      </c>
      <c r="D510" s="8" t="s">
        <v>3078</v>
      </c>
      <c r="E510" s="8" t="s">
        <v>3079</v>
      </c>
      <c r="F510" s="8" t="s">
        <v>2393</v>
      </c>
      <c r="G510" s="6" t="s">
        <v>62</v>
      </c>
      <c r="H510" s="6" t="s">
        <v>39</v>
      </c>
      <c r="I510" s="8" t="s">
        <v>40</v>
      </c>
      <c r="J510" s="9">
        <v>1</v>
      </c>
      <c r="K510" s="9">
        <v>262</v>
      </c>
      <c r="L510" s="9">
        <v>2022</v>
      </c>
      <c r="M510" s="8" t="s">
        <v>3080</v>
      </c>
      <c r="N510" s="8" t="s">
        <v>42</v>
      </c>
      <c r="O510" s="8" t="s">
        <v>89</v>
      </c>
      <c r="P510" s="6" t="s">
        <v>44</v>
      </c>
      <c r="Q510" s="8" t="s">
        <v>45</v>
      </c>
      <c r="R510" s="10" t="s">
        <v>870</v>
      </c>
      <c r="S510" s="11"/>
      <c r="T510" s="6"/>
      <c r="U510" s="24" t="str">
        <f>HYPERLINK("https://media.infra-m.ru/1839/1839705/cover/1839705.jpg", "Обложка")</f>
        <v>Обложка</v>
      </c>
      <c r="V510" s="24" t="str">
        <f>HYPERLINK("https://znanium.ru/catalog/product/1839705", "Ознакомиться")</f>
        <v>Ознакомиться</v>
      </c>
      <c r="W510" s="8" t="s">
        <v>358</v>
      </c>
      <c r="X510" s="6"/>
      <c r="Y510" s="6"/>
      <c r="Z510" s="6"/>
      <c r="AA510" s="6" t="s">
        <v>273</v>
      </c>
      <c r="AB510" s="8"/>
    </row>
    <row r="511" spans="1:28" s="4" customFormat="1" ht="42" customHeight="1">
      <c r="A511" s="5">
        <v>0</v>
      </c>
      <c r="B511" s="6" t="s">
        <v>3081</v>
      </c>
      <c r="C511" s="7">
        <v>1080</v>
      </c>
      <c r="D511" s="8" t="s">
        <v>3082</v>
      </c>
      <c r="E511" s="8" t="s">
        <v>3083</v>
      </c>
      <c r="F511" s="8" t="s">
        <v>3084</v>
      </c>
      <c r="G511" s="6" t="s">
        <v>38</v>
      </c>
      <c r="H511" s="6" t="s">
        <v>39</v>
      </c>
      <c r="I511" s="8" t="s">
        <v>40</v>
      </c>
      <c r="J511" s="9">
        <v>1</v>
      </c>
      <c r="K511" s="9">
        <v>167</v>
      </c>
      <c r="L511" s="9">
        <v>2025</v>
      </c>
      <c r="M511" s="8" t="s">
        <v>3085</v>
      </c>
      <c r="N511" s="8" t="s">
        <v>42</v>
      </c>
      <c r="O511" s="8" t="s">
        <v>89</v>
      </c>
      <c r="P511" s="6" t="s">
        <v>44</v>
      </c>
      <c r="Q511" s="8" t="s">
        <v>45</v>
      </c>
      <c r="R511" s="10" t="s">
        <v>3086</v>
      </c>
      <c r="S511" s="11"/>
      <c r="T511" s="6"/>
      <c r="U511" s="24" t="str">
        <f>HYPERLINK("https://media.infra-m.ru/2188/2188421/cover/2188421.jpg", "Обложка")</f>
        <v>Обложка</v>
      </c>
      <c r="V511" s="24" t="str">
        <f>HYPERLINK("https://znanium.ru/catalog/product/2188421", "Ознакомиться")</f>
        <v>Ознакомиться</v>
      </c>
      <c r="W511" s="8" t="s">
        <v>3087</v>
      </c>
      <c r="X511" s="6" t="s">
        <v>1407</v>
      </c>
      <c r="Y511" s="6"/>
      <c r="Z511" s="6"/>
      <c r="AA511" s="6" t="s">
        <v>360</v>
      </c>
      <c r="AB511" s="8"/>
    </row>
    <row r="512" spans="1:28" s="4" customFormat="1" ht="42" customHeight="1">
      <c r="A512" s="5">
        <v>0</v>
      </c>
      <c r="B512" s="6" t="s">
        <v>3088</v>
      </c>
      <c r="C512" s="7">
        <v>1588.8</v>
      </c>
      <c r="D512" s="8" t="s">
        <v>3089</v>
      </c>
      <c r="E512" s="8" t="s">
        <v>3090</v>
      </c>
      <c r="F512" s="8" t="s">
        <v>3091</v>
      </c>
      <c r="G512" s="6" t="s">
        <v>62</v>
      </c>
      <c r="H512" s="6" t="s">
        <v>188</v>
      </c>
      <c r="I512" s="8" t="s">
        <v>421</v>
      </c>
      <c r="J512" s="9">
        <v>1</v>
      </c>
      <c r="K512" s="9">
        <v>240</v>
      </c>
      <c r="L512" s="9">
        <v>2026</v>
      </c>
      <c r="M512" s="8" t="s">
        <v>3092</v>
      </c>
      <c r="N512" s="8" t="s">
        <v>42</v>
      </c>
      <c r="O512" s="8" t="s">
        <v>89</v>
      </c>
      <c r="P512" s="6" t="s">
        <v>425</v>
      </c>
      <c r="Q512" s="8" t="s">
        <v>180</v>
      </c>
      <c r="R512" s="10" t="s">
        <v>3093</v>
      </c>
      <c r="S512" s="11"/>
      <c r="T512" s="6"/>
      <c r="U512" s="24" t="str">
        <f>HYPERLINK("https://media.infra-m.ru/2230/2230153/cover/2230153.jpg", "Обложка")</f>
        <v>Обложка</v>
      </c>
      <c r="V512" s="24" t="str">
        <f>HYPERLINK("https://znanium.ru/catalog/product/2208431", "Ознакомиться")</f>
        <v>Ознакомиться</v>
      </c>
      <c r="W512" s="8" t="s">
        <v>3094</v>
      </c>
      <c r="X512" s="6"/>
      <c r="Y512" s="6"/>
      <c r="Z512" s="6"/>
      <c r="AA512" s="6" t="s">
        <v>48</v>
      </c>
      <c r="AB512" s="8"/>
    </row>
    <row r="513" spans="1:28" s="4" customFormat="1" ht="51.95" customHeight="1">
      <c r="A513" s="5">
        <v>0</v>
      </c>
      <c r="B513" s="6" t="s">
        <v>3095</v>
      </c>
      <c r="C513" s="7">
        <v>2056.8000000000002</v>
      </c>
      <c r="D513" s="8" t="s">
        <v>3096</v>
      </c>
      <c r="E513" s="8" t="s">
        <v>3097</v>
      </c>
      <c r="F513" s="8" t="s">
        <v>926</v>
      </c>
      <c r="G513" s="6" t="s">
        <v>38</v>
      </c>
      <c r="H513" s="6" t="s">
        <v>39</v>
      </c>
      <c r="I513" s="8" t="s">
        <v>40</v>
      </c>
      <c r="J513" s="9">
        <v>1</v>
      </c>
      <c r="K513" s="9">
        <v>330</v>
      </c>
      <c r="L513" s="9">
        <v>2025</v>
      </c>
      <c r="M513" s="8" t="s">
        <v>3098</v>
      </c>
      <c r="N513" s="8" t="s">
        <v>42</v>
      </c>
      <c r="O513" s="8" t="s">
        <v>89</v>
      </c>
      <c r="P513" s="6" t="s">
        <v>44</v>
      </c>
      <c r="Q513" s="8" t="s">
        <v>45</v>
      </c>
      <c r="R513" s="10" t="s">
        <v>3099</v>
      </c>
      <c r="S513" s="11"/>
      <c r="T513" s="6" t="s">
        <v>633</v>
      </c>
      <c r="U513" s="24" t="str">
        <f>HYPERLINK("https://media.infra-m.ru/2206/2206797/cover/2206797.jpg", "Обложка")</f>
        <v>Обложка</v>
      </c>
      <c r="V513" s="24" t="str">
        <f>HYPERLINK("https://znanium.ru/catalog/product/1290960", "Ознакомиться")</f>
        <v>Ознакомиться</v>
      </c>
      <c r="W513" s="8" t="s">
        <v>929</v>
      </c>
      <c r="X513" s="6"/>
      <c r="Y513" s="6"/>
      <c r="Z513" s="6"/>
      <c r="AA513" s="6" t="s">
        <v>264</v>
      </c>
      <c r="AB513" s="8"/>
    </row>
    <row r="514" spans="1:28" s="4" customFormat="1" ht="44.1" customHeight="1">
      <c r="A514" s="5">
        <v>0</v>
      </c>
      <c r="B514" s="6" t="s">
        <v>3100</v>
      </c>
      <c r="C514" s="13">
        <v>888</v>
      </c>
      <c r="D514" s="8" t="s">
        <v>3101</v>
      </c>
      <c r="E514" s="8" t="s">
        <v>3102</v>
      </c>
      <c r="F514" s="8" t="s">
        <v>3103</v>
      </c>
      <c r="G514" s="6" t="s">
        <v>38</v>
      </c>
      <c r="H514" s="6" t="s">
        <v>188</v>
      </c>
      <c r="I514" s="8"/>
      <c r="J514" s="9">
        <v>1</v>
      </c>
      <c r="K514" s="9">
        <v>159</v>
      </c>
      <c r="L514" s="9">
        <v>2024</v>
      </c>
      <c r="M514" s="8" t="s">
        <v>3104</v>
      </c>
      <c r="N514" s="8" t="s">
        <v>42</v>
      </c>
      <c r="O514" s="8" t="s">
        <v>89</v>
      </c>
      <c r="P514" s="6" t="s">
        <v>44</v>
      </c>
      <c r="Q514" s="8" t="s">
        <v>45</v>
      </c>
      <c r="R514" s="10" t="s">
        <v>975</v>
      </c>
      <c r="S514" s="11"/>
      <c r="T514" s="6"/>
      <c r="U514" s="24" t="str">
        <f>HYPERLINK("https://media.infra-m.ru/2102/2102667/cover/2102667.jpg", "Обложка")</f>
        <v>Обложка</v>
      </c>
      <c r="V514" s="24" t="str">
        <f>HYPERLINK("https://znanium.ru/catalog/product/2102667", "Ознакомиться")</f>
        <v>Ознакомиться</v>
      </c>
      <c r="W514" s="8" t="s">
        <v>871</v>
      </c>
      <c r="X514" s="6"/>
      <c r="Y514" s="6"/>
      <c r="Z514" s="6"/>
      <c r="AA514" s="6" t="s">
        <v>273</v>
      </c>
      <c r="AB514" s="8"/>
    </row>
    <row r="515" spans="1:28" s="4" customFormat="1" ht="44.1" customHeight="1">
      <c r="A515" s="5">
        <v>0</v>
      </c>
      <c r="B515" s="6" t="s">
        <v>3105</v>
      </c>
      <c r="C515" s="7">
        <v>1368</v>
      </c>
      <c r="D515" s="8" t="s">
        <v>3106</v>
      </c>
      <c r="E515" s="8" t="s">
        <v>3107</v>
      </c>
      <c r="F515" s="8" t="s">
        <v>3108</v>
      </c>
      <c r="G515" s="6" t="s">
        <v>62</v>
      </c>
      <c r="H515" s="6" t="s">
        <v>39</v>
      </c>
      <c r="I515" s="8"/>
      <c r="J515" s="9">
        <v>1</v>
      </c>
      <c r="K515" s="9">
        <v>228</v>
      </c>
      <c r="L515" s="9">
        <v>2025</v>
      </c>
      <c r="M515" s="8" t="s">
        <v>3109</v>
      </c>
      <c r="N515" s="8" t="s">
        <v>42</v>
      </c>
      <c r="O515" s="8" t="s">
        <v>89</v>
      </c>
      <c r="P515" s="6" t="s">
        <v>199</v>
      </c>
      <c r="Q515" s="8" t="s">
        <v>200</v>
      </c>
      <c r="R515" s="10" t="s">
        <v>3110</v>
      </c>
      <c r="S515" s="11"/>
      <c r="T515" s="6"/>
      <c r="U515" s="24" t="str">
        <f>HYPERLINK("https://media.infra-m.ru/2159/2159184/cover/2159184.jpg", "Обложка")</f>
        <v>Обложка</v>
      </c>
      <c r="V515" s="24" t="str">
        <f>HYPERLINK("https://znanium.ru/catalog/product/2159184", "Ознакомиться")</f>
        <v>Ознакомиться</v>
      </c>
      <c r="W515" s="8" t="s">
        <v>702</v>
      </c>
      <c r="X515" s="6"/>
      <c r="Y515" s="6"/>
      <c r="Z515" s="6"/>
      <c r="AA515" s="6" t="s">
        <v>242</v>
      </c>
      <c r="AB515" s="8"/>
    </row>
    <row r="516" spans="1:28" s="4" customFormat="1" ht="42" customHeight="1">
      <c r="A516" s="5">
        <v>0</v>
      </c>
      <c r="B516" s="6" t="s">
        <v>3111</v>
      </c>
      <c r="C516" s="7">
        <v>1540.8</v>
      </c>
      <c r="D516" s="8" t="s">
        <v>3112</v>
      </c>
      <c r="E516" s="8" t="s">
        <v>3113</v>
      </c>
      <c r="F516" s="8" t="s">
        <v>3114</v>
      </c>
      <c r="G516" s="6" t="s">
        <v>96</v>
      </c>
      <c r="H516" s="6" t="s">
        <v>39</v>
      </c>
      <c r="I516" s="8" t="s">
        <v>40</v>
      </c>
      <c r="J516" s="9">
        <v>1</v>
      </c>
      <c r="K516" s="9">
        <v>256</v>
      </c>
      <c r="L516" s="9">
        <v>2024</v>
      </c>
      <c r="M516" s="8" t="s">
        <v>3115</v>
      </c>
      <c r="N516" s="8" t="s">
        <v>144</v>
      </c>
      <c r="O516" s="8" t="s">
        <v>145</v>
      </c>
      <c r="P516" s="6" t="s">
        <v>44</v>
      </c>
      <c r="Q516" s="8" t="s">
        <v>426</v>
      </c>
      <c r="R516" s="10" t="s">
        <v>3116</v>
      </c>
      <c r="S516" s="11"/>
      <c r="T516" s="6"/>
      <c r="U516" s="24" t="str">
        <f>HYPERLINK("https://media.infra-m.ru/2115/2115272/cover/2115272.jpg", "Обложка")</f>
        <v>Обложка</v>
      </c>
      <c r="V516" s="24" t="str">
        <f>HYPERLINK("https://znanium.ru/catalog/product/1858240", "Ознакомиться")</f>
        <v>Ознакомиться</v>
      </c>
      <c r="W516" s="8" t="s">
        <v>929</v>
      </c>
      <c r="X516" s="6"/>
      <c r="Y516" s="6"/>
      <c r="Z516" s="6"/>
      <c r="AA516" s="6" t="s">
        <v>213</v>
      </c>
      <c r="AB516" s="8"/>
    </row>
    <row r="517" spans="1:28" s="4" customFormat="1" ht="42" customHeight="1">
      <c r="A517" s="5">
        <v>0</v>
      </c>
      <c r="B517" s="6" t="s">
        <v>3117</v>
      </c>
      <c r="C517" s="7">
        <v>1008</v>
      </c>
      <c r="D517" s="8" t="s">
        <v>3118</v>
      </c>
      <c r="E517" s="8" t="s">
        <v>3119</v>
      </c>
      <c r="F517" s="8" t="s">
        <v>3120</v>
      </c>
      <c r="G517" s="6" t="s">
        <v>38</v>
      </c>
      <c r="H517" s="6" t="s">
        <v>39</v>
      </c>
      <c r="I517" s="8" t="s">
        <v>40</v>
      </c>
      <c r="J517" s="9">
        <v>1</v>
      </c>
      <c r="K517" s="9">
        <v>215</v>
      </c>
      <c r="L517" s="9">
        <v>2022</v>
      </c>
      <c r="M517" s="8" t="s">
        <v>3121</v>
      </c>
      <c r="N517" s="8" t="s">
        <v>144</v>
      </c>
      <c r="O517" s="8" t="s">
        <v>145</v>
      </c>
      <c r="P517" s="6" t="s">
        <v>44</v>
      </c>
      <c r="Q517" s="8" t="s">
        <v>45</v>
      </c>
      <c r="R517" s="10" t="s">
        <v>3122</v>
      </c>
      <c r="S517" s="11"/>
      <c r="T517" s="6"/>
      <c r="U517" s="24" t="str">
        <f>HYPERLINK("https://media.infra-m.ru/1853/1853856/cover/1853856.jpg", "Обложка")</f>
        <v>Обложка</v>
      </c>
      <c r="V517" s="24" t="str">
        <f>HYPERLINK("https://znanium.ru/catalog/product/1853856", "Ознакомиться")</f>
        <v>Ознакомиться</v>
      </c>
      <c r="W517" s="8" t="s">
        <v>3123</v>
      </c>
      <c r="X517" s="6"/>
      <c r="Y517" s="6"/>
      <c r="Z517" s="6"/>
      <c r="AA517" s="6" t="s">
        <v>391</v>
      </c>
      <c r="AB517" s="8"/>
    </row>
    <row r="518" spans="1:28" s="4" customFormat="1" ht="44.1" customHeight="1">
      <c r="A518" s="5">
        <v>0</v>
      </c>
      <c r="B518" s="6" t="s">
        <v>3124</v>
      </c>
      <c r="C518" s="7">
        <v>1156.8</v>
      </c>
      <c r="D518" s="8" t="s">
        <v>3125</v>
      </c>
      <c r="E518" s="8" t="s">
        <v>3126</v>
      </c>
      <c r="F518" s="8" t="s">
        <v>3127</v>
      </c>
      <c r="G518" s="6" t="s">
        <v>38</v>
      </c>
      <c r="H518" s="6" t="s">
        <v>531</v>
      </c>
      <c r="I518" s="8" t="s">
        <v>532</v>
      </c>
      <c r="J518" s="9">
        <v>1</v>
      </c>
      <c r="K518" s="9">
        <v>192</v>
      </c>
      <c r="L518" s="9">
        <v>2025</v>
      </c>
      <c r="M518" s="8" t="s">
        <v>3128</v>
      </c>
      <c r="N518" s="8" t="s">
        <v>42</v>
      </c>
      <c r="O518" s="8" t="s">
        <v>89</v>
      </c>
      <c r="P518" s="6" t="s">
        <v>44</v>
      </c>
      <c r="Q518" s="8" t="s">
        <v>45</v>
      </c>
      <c r="R518" s="10" t="s">
        <v>928</v>
      </c>
      <c r="S518" s="11"/>
      <c r="T518" s="6"/>
      <c r="U518" s="24" t="str">
        <f>HYPERLINK("https://media.infra-m.ru/2180/2180554/cover/2180554.jpg", "Обложка")</f>
        <v>Обложка</v>
      </c>
      <c r="V518" s="24" t="str">
        <f>HYPERLINK("https://znanium.ru/catalog/product/2180554", "Ознакомиться")</f>
        <v>Ознакомиться</v>
      </c>
      <c r="W518" s="8" t="s">
        <v>3129</v>
      </c>
      <c r="X518" s="6"/>
      <c r="Y518" s="6"/>
      <c r="Z518" s="6"/>
      <c r="AA518" s="6" t="s">
        <v>273</v>
      </c>
      <c r="AB518" s="8"/>
    </row>
    <row r="519" spans="1:28" s="4" customFormat="1" ht="44.1" customHeight="1">
      <c r="A519" s="5">
        <v>0</v>
      </c>
      <c r="B519" s="6" t="s">
        <v>3130</v>
      </c>
      <c r="C519" s="7">
        <v>1608</v>
      </c>
      <c r="D519" s="8" t="s">
        <v>3131</v>
      </c>
      <c r="E519" s="8" t="s">
        <v>3132</v>
      </c>
      <c r="F519" s="8" t="s">
        <v>3133</v>
      </c>
      <c r="G519" s="6" t="s">
        <v>38</v>
      </c>
      <c r="H519" s="6" t="s">
        <v>39</v>
      </c>
      <c r="I519" s="8" t="s">
        <v>40</v>
      </c>
      <c r="J519" s="9">
        <v>1</v>
      </c>
      <c r="K519" s="9">
        <v>251</v>
      </c>
      <c r="L519" s="9">
        <v>2026</v>
      </c>
      <c r="M519" s="8" t="s">
        <v>3134</v>
      </c>
      <c r="N519" s="8" t="s">
        <v>42</v>
      </c>
      <c r="O519" s="8" t="s">
        <v>89</v>
      </c>
      <c r="P519" s="6" t="s">
        <v>44</v>
      </c>
      <c r="Q519" s="8" t="s">
        <v>45</v>
      </c>
      <c r="R519" s="10" t="s">
        <v>3135</v>
      </c>
      <c r="S519" s="11"/>
      <c r="T519" s="6"/>
      <c r="U519" s="24" t="str">
        <f>HYPERLINK("https://media.infra-m.ru/2221/2221550/cover/2221550.jpg", "Обложка")</f>
        <v>Обложка</v>
      </c>
      <c r="V519" s="24" t="str">
        <f>HYPERLINK("https://znanium.ru/catalog/product/2221550", "Ознакомиться")</f>
        <v>Ознакомиться</v>
      </c>
      <c r="W519" s="8" t="s">
        <v>3136</v>
      </c>
      <c r="X519" s="6"/>
      <c r="Y519" s="6"/>
      <c r="Z519" s="6"/>
      <c r="AA519" s="6" t="s">
        <v>129</v>
      </c>
      <c r="AB519" s="8"/>
    </row>
    <row r="520" spans="1:28" s="4" customFormat="1" ht="51.95" customHeight="1">
      <c r="A520" s="5">
        <v>0</v>
      </c>
      <c r="B520" s="6" t="s">
        <v>3137</v>
      </c>
      <c r="C520" s="7">
        <v>2220</v>
      </c>
      <c r="D520" s="8" t="s">
        <v>3138</v>
      </c>
      <c r="E520" s="8" t="s">
        <v>3139</v>
      </c>
      <c r="F520" s="8" t="s">
        <v>3140</v>
      </c>
      <c r="G520" s="6" t="s">
        <v>62</v>
      </c>
      <c r="H520" s="6" t="s">
        <v>39</v>
      </c>
      <c r="I520" s="8" t="s">
        <v>40</v>
      </c>
      <c r="J520" s="9">
        <v>1</v>
      </c>
      <c r="K520" s="9">
        <v>356</v>
      </c>
      <c r="L520" s="9">
        <v>2026</v>
      </c>
      <c r="M520" s="8" t="s">
        <v>3141</v>
      </c>
      <c r="N520" s="8" t="s">
        <v>42</v>
      </c>
      <c r="O520" s="8" t="s">
        <v>89</v>
      </c>
      <c r="P520" s="6" t="s">
        <v>44</v>
      </c>
      <c r="Q520" s="8" t="s">
        <v>45</v>
      </c>
      <c r="R520" s="10" t="s">
        <v>3142</v>
      </c>
      <c r="S520" s="11"/>
      <c r="T520" s="6"/>
      <c r="U520" s="24" t="str">
        <f>HYPERLINK("https://media.infra-m.ru/2219/2219029/cover/2219029.jpg", "Обложка")</f>
        <v>Обложка</v>
      </c>
      <c r="V520" s="24" t="str">
        <f>HYPERLINK("https://znanium.ru/catalog/product/2219029", "Ознакомиться")</f>
        <v>Ознакомиться</v>
      </c>
      <c r="W520" s="8" t="s">
        <v>3143</v>
      </c>
      <c r="X520" s="6"/>
      <c r="Y520" s="6"/>
      <c r="Z520" s="6"/>
      <c r="AA520" s="6" t="s">
        <v>91</v>
      </c>
      <c r="AB520" s="8" t="s">
        <v>2291</v>
      </c>
    </row>
    <row r="521" spans="1:28" s="4" customFormat="1" ht="51.95" customHeight="1">
      <c r="A521" s="5">
        <v>0</v>
      </c>
      <c r="B521" s="6" t="s">
        <v>3144</v>
      </c>
      <c r="C521" s="7">
        <v>2004</v>
      </c>
      <c r="D521" s="8" t="s">
        <v>3145</v>
      </c>
      <c r="E521" s="8" t="s">
        <v>3146</v>
      </c>
      <c r="F521" s="8" t="s">
        <v>3147</v>
      </c>
      <c r="G521" s="6" t="s">
        <v>62</v>
      </c>
      <c r="H521" s="6" t="s">
        <v>39</v>
      </c>
      <c r="I521" s="8" t="s">
        <v>40</v>
      </c>
      <c r="J521" s="9">
        <v>1</v>
      </c>
      <c r="K521" s="9">
        <v>320</v>
      </c>
      <c r="L521" s="9">
        <v>2026</v>
      </c>
      <c r="M521" s="8" t="s">
        <v>3148</v>
      </c>
      <c r="N521" s="8" t="s">
        <v>42</v>
      </c>
      <c r="O521" s="8" t="s">
        <v>89</v>
      </c>
      <c r="P521" s="6" t="s">
        <v>44</v>
      </c>
      <c r="Q521" s="8" t="s">
        <v>45</v>
      </c>
      <c r="R521" s="10" t="s">
        <v>3149</v>
      </c>
      <c r="S521" s="11"/>
      <c r="T521" s="6"/>
      <c r="U521" s="24" t="str">
        <f>HYPERLINK("https://media.infra-m.ru/2205/2205020/cover/2205020.jpg", "Обложка")</f>
        <v>Обложка</v>
      </c>
      <c r="V521" s="24" t="str">
        <f>HYPERLINK("https://znanium.ru/catalog/product/2205020", "Ознакомиться")</f>
        <v>Ознакомиться</v>
      </c>
      <c r="W521" s="8" t="s">
        <v>768</v>
      </c>
      <c r="X521" s="6"/>
      <c r="Y521" s="6"/>
      <c r="Z521" s="6"/>
      <c r="AA521" s="6" t="s">
        <v>264</v>
      </c>
      <c r="AB521" s="8"/>
    </row>
    <row r="522" spans="1:28" s="4" customFormat="1" ht="42" customHeight="1">
      <c r="A522" s="5">
        <v>0</v>
      </c>
      <c r="B522" s="6" t="s">
        <v>3150</v>
      </c>
      <c r="C522" s="7">
        <v>1874.4</v>
      </c>
      <c r="D522" s="8" t="s">
        <v>3151</v>
      </c>
      <c r="E522" s="8" t="s">
        <v>3152</v>
      </c>
      <c r="F522" s="8" t="s">
        <v>3153</v>
      </c>
      <c r="G522" s="6" t="s">
        <v>38</v>
      </c>
      <c r="H522" s="6" t="s">
        <v>188</v>
      </c>
      <c r="I522" s="8"/>
      <c r="J522" s="9">
        <v>1</v>
      </c>
      <c r="K522" s="9">
        <v>256</v>
      </c>
      <c r="L522" s="9">
        <v>2023</v>
      </c>
      <c r="M522" s="8" t="s">
        <v>3154</v>
      </c>
      <c r="N522" s="8" t="s">
        <v>42</v>
      </c>
      <c r="O522" s="8" t="s">
        <v>89</v>
      </c>
      <c r="P522" s="6" t="s">
        <v>44</v>
      </c>
      <c r="Q522" s="8" t="s">
        <v>45</v>
      </c>
      <c r="R522" s="10" t="s">
        <v>870</v>
      </c>
      <c r="S522" s="11"/>
      <c r="T522" s="6"/>
      <c r="U522" s="24" t="str">
        <f>HYPERLINK("https://media.infra-m.ru/1895/1895670/cover/1895670.jpg", "Обложка")</f>
        <v>Обложка</v>
      </c>
      <c r="V522" s="24" t="str">
        <f>HYPERLINK("https://znanium.ru/catalog/product/1895670", "Ознакомиться")</f>
        <v>Ознакомиться</v>
      </c>
      <c r="W522" s="8" t="s">
        <v>871</v>
      </c>
      <c r="X522" s="6"/>
      <c r="Y522" s="6"/>
      <c r="Z522" s="6"/>
      <c r="AA522" s="6" t="s">
        <v>470</v>
      </c>
      <c r="AB522" s="8"/>
    </row>
    <row r="523" spans="1:28" s="4" customFormat="1" ht="44.1" customHeight="1">
      <c r="A523" s="5">
        <v>0</v>
      </c>
      <c r="B523" s="6" t="s">
        <v>3155</v>
      </c>
      <c r="C523" s="7">
        <v>1596</v>
      </c>
      <c r="D523" s="8" t="s">
        <v>3156</v>
      </c>
      <c r="E523" s="8" t="s">
        <v>3157</v>
      </c>
      <c r="F523" s="8" t="s">
        <v>3158</v>
      </c>
      <c r="G523" s="6" t="s">
        <v>38</v>
      </c>
      <c r="H523" s="6" t="s">
        <v>39</v>
      </c>
      <c r="I523" s="8" t="s">
        <v>40</v>
      </c>
      <c r="J523" s="9">
        <v>1</v>
      </c>
      <c r="K523" s="9">
        <v>289</v>
      </c>
      <c r="L523" s="9">
        <v>2024</v>
      </c>
      <c r="M523" s="8" t="s">
        <v>3159</v>
      </c>
      <c r="N523" s="8" t="s">
        <v>144</v>
      </c>
      <c r="O523" s="8" t="s">
        <v>145</v>
      </c>
      <c r="P523" s="6" t="s">
        <v>44</v>
      </c>
      <c r="Q523" s="8" t="s">
        <v>45</v>
      </c>
      <c r="R523" s="10" t="s">
        <v>3160</v>
      </c>
      <c r="S523" s="11"/>
      <c r="T523" s="6"/>
      <c r="U523" s="24" t="str">
        <f>HYPERLINK("https://media.infra-m.ru/2078/2078381/cover/2078381.jpg", "Обложка")</f>
        <v>Обложка</v>
      </c>
      <c r="V523" s="24" t="str">
        <f>HYPERLINK("https://znanium.ru/catalog/product/914651", "Ознакомиться")</f>
        <v>Ознакомиться</v>
      </c>
      <c r="W523" s="8" t="s">
        <v>241</v>
      </c>
      <c r="X523" s="6"/>
      <c r="Y523" s="6"/>
      <c r="Z523" s="6"/>
      <c r="AA523" s="6" t="s">
        <v>264</v>
      </c>
      <c r="AB523" s="8"/>
    </row>
    <row r="524" spans="1:28" s="4" customFormat="1" ht="42" customHeight="1">
      <c r="A524" s="5">
        <v>0</v>
      </c>
      <c r="B524" s="6" t="s">
        <v>3161</v>
      </c>
      <c r="C524" s="7">
        <v>1236</v>
      </c>
      <c r="D524" s="8" t="s">
        <v>3162</v>
      </c>
      <c r="E524" s="8" t="s">
        <v>3163</v>
      </c>
      <c r="F524" s="8" t="s">
        <v>3164</v>
      </c>
      <c r="G524" s="6" t="s">
        <v>38</v>
      </c>
      <c r="H524" s="6" t="s">
        <v>39</v>
      </c>
      <c r="I524" s="8" t="s">
        <v>40</v>
      </c>
      <c r="J524" s="9">
        <v>1</v>
      </c>
      <c r="K524" s="9">
        <v>216</v>
      </c>
      <c r="L524" s="9">
        <v>2023</v>
      </c>
      <c r="M524" s="8" t="s">
        <v>3165</v>
      </c>
      <c r="N524" s="8" t="s">
        <v>144</v>
      </c>
      <c r="O524" s="8" t="s">
        <v>145</v>
      </c>
      <c r="P524" s="6" t="s">
        <v>44</v>
      </c>
      <c r="Q524" s="8" t="s">
        <v>45</v>
      </c>
      <c r="R524" s="10" t="s">
        <v>1154</v>
      </c>
      <c r="S524" s="11"/>
      <c r="T524" s="6"/>
      <c r="U524" s="24" t="str">
        <f>HYPERLINK("https://media.infra-m.ru/1868/1868917/cover/1868917.jpg", "Обложка")</f>
        <v>Обложка</v>
      </c>
      <c r="V524" s="24" t="str">
        <f>HYPERLINK("https://znanium.ru/catalog/product/1868917", "Ознакомиться")</f>
        <v>Ознакомиться</v>
      </c>
      <c r="W524" s="8" t="s">
        <v>2571</v>
      </c>
      <c r="X524" s="6"/>
      <c r="Y524" s="6"/>
      <c r="Z524" s="6"/>
      <c r="AA524" s="6" t="s">
        <v>91</v>
      </c>
      <c r="AB524" s="8"/>
    </row>
    <row r="525" spans="1:28" s="4" customFormat="1" ht="51.95" customHeight="1">
      <c r="A525" s="5">
        <v>0</v>
      </c>
      <c r="B525" s="6" t="s">
        <v>3166</v>
      </c>
      <c r="C525" s="7">
        <v>1188</v>
      </c>
      <c r="D525" s="8" t="s">
        <v>3167</v>
      </c>
      <c r="E525" s="8" t="s">
        <v>3168</v>
      </c>
      <c r="F525" s="8" t="s">
        <v>3169</v>
      </c>
      <c r="G525" s="6" t="s">
        <v>62</v>
      </c>
      <c r="H525" s="6" t="s">
        <v>39</v>
      </c>
      <c r="I525" s="8" t="s">
        <v>40</v>
      </c>
      <c r="J525" s="9">
        <v>1</v>
      </c>
      <c r="K525" s="9">
        <v>289</v>
      </c>
      <c r="L525" s="9">
        <v>2019</v>
      </c>
      <c r="M525" s="8" t="s">
        <v>3170</v>
      </c>
      <c r="N525" s="8" t="s">
        <v>42</v>
      </c>
      <c r="O525" s="8" t="s">
        <v>43</v>
      </c>
      <c r="P525" s="6" t="s">
        <v>44</v>
      </c>
      <c r="Q525" s="8" t="s">
        <v>45</v>
      </c>
      <c r="R525" s="10" t="s">
        <v>3171</v>
      </c>
      <c r="S525" s="11"/>
      <c r="T525" s="6"/>
      <c r="U525" s="24" t="str">
        <f>HYPERLINK("https://media.infra-m.ru/1031/1031325/cover/1031325.jpg", "Обложка")</f>
        <v>Обложка</v>
      </c>
      <c r="V525" s="24" t="str">
        <f>HYPERLINK("https://znanium.ru/catalog/product/1031325", "Ознакомиться")</f>
        <v>Ознакомиться</v>
      </c>
      <c r="W525" s="8" t="s">
        <v>3172</v>
      </c>
      <c r="X525" s="6"/>
      <c r="Y525" s="6"/>
      <c r="Z525" s="6"/>
      <c r="AA525" s="6" t="s">
        <v>138</v>
      </c>
      <c r="AB525" s="8"/>
    </row>
    <row r="526" spans="1:28" s="4" customFormat="1" ht="42" customHeight="1">
      <c r="A526" s="5">
        <v>0</v>
      </c>
      <c r="B526" s="6" t="s">
        <v>3173</v>
      </c>
      <c r="C526" s="7">
        <v>1320</v>
      </c>
      <c r="D526" s="8" t="s">
        <v>3174</v>
      </c>
      <c r="E526" s="8" t="s">
        <v>3175</v>
      </c>
      <c r="F526" s="8" t="s">
        <v>3176</v>
      </c>
      <c r="G526" s="6" t="s">
        <v>62</v>
      </c>
      <c r="H526" s="6" t="s">
        <v>39</v>
      </c>
      <c r="I526" s="8" t="s">
        <v>40</v>
      </c>
      <c r="J526" s="9">
        <v>1</v>
      </c>
      <c r="K526" s="9">
        <v>210</v>
      </c>
      <c r="L526" s="9">
        <v>2026</v>
      </c>
      <c r="M526" s="8" t="s">
        <v>3177</v>
      </c>
      <c r="N526" s="8" t="s">
        <v>144</v>
      </c>
      <c r="O526" s="8" t="s">
        <v>145</v>
      </c>
      <c r="P526" s="6" t="s">
        <v>44</v>
      </c>
      <c r="Q526" s="8" t="s">
        <v>45</v>
      </c>
      <c r="R526" s="10" t="s">
        <v>3178</v>
      </c>
      <c r="S526" s="11"/>
      <c r="T526" s="6"/>
      <c r="U526" s="24" t="str">
        <f>HYPERLINK("https://media.infra-m.ru/2217/2217602/cover/2217602.jpg", "Обложка")</f>
        <v>Обложка</v>
      </c>
      <c r="V526" s="24" t="str">
        <f>HYPERLINK("https://znanium.ru/catalog/product/2217602", "Ознакомиться")</f>
        <v>Ознакомиться</v>
      </c>
      <c r="W526" s="8" t="s">
        <v>594</v>
      </c>
      <c r="X526" s="6"/>
      <c r="Y526" s="6"/>
      <c r="Z526" s="6"/>
      <c r="AA526" s="6" t="s">
        <v>227</v>
      </c>
      <c r="AB526" s="8"/>
    </row>
    <row r="527" spans="1:28" s="4" customFormat="1" ht="51.95" customHeight="1">
      <c r="A527" s="5">
        <v>0</v>
      </c>
      <c r="B527" s="6" t="s">
        <v>3179</v>
      </c>
      <c r="C527" s="13">
        <v>672</v>
      </c>
      <c r="D527" s="8" t="s">
        <v>3180</v>
      </c>
      <c r="E527" s="8" t="s">
        <v>3181</v>
      </c>
      <c r="F527" s="8" t="s">
        <v>3182</v>
      </c>
      <c r="G527" s="6" t="s">
        <v>38</v>
      </c>
      <c r="H527" s="6" t="s">
        <v>39</v>
      </c>
      <c r="I527" s="8" t="s">
        <v>3183</v>
      </c>
      <c r="J527" s="9">
        <v>1</v>
      </c>
      <c r="K527" s="9">
        <v>124</v>
      </c>
      <c r="L527" s="9">
        <v>2024</v>
      </c>
      <c r="M527" s="8" t="s">
        <v>3184</v>
      </c>
      <c r="N527" s="8" t="s">
        <v>42</v>
      </c>
      <c r="O527" s="8" t="s">
        <v>89</v>
      </c>
      <c r="P527" s="6" t="s">
        <v>44</v>
      </c>
      <c r="Q527" s="8" t="s">
        <v>45</v>
      </c>
      <c r="R527" s="10" t="s">
        <v>3185</v>
      </c>
      <c r="S527" s="11"/>
      <c r="T527" s="6"/>
      <c r="U527" s="24" t="str">
        <f>HYPERLINK("https://media.infra-m.ru/2048/2048140/cover/2048140.jpg", "Обложка")</f>
        <v>Обложка</v>
      </c>
      <c r="V527" s="24" t="str">
        <f>HYPERLINK("https://znanium.ru/catalog/product/2048140", "Ознакомиться")</f>
        <v>Ознакомиться</v>
      </c>
      <c r="W527" s="8" t="s">
        <v>3186</v>
      </c>
      <c r="X527" s="6"/>
      <c r="Y527" s="6"/>
      <c r="Z527" s="6"/>
      <c r="AA527" s="6" t="s">
        <v>57</v>
      </c>
      <c r="AB527" s="8"/>
    </row>
    <row r="528" spans="1:28" s="4" customFormat="1" ht="51.95" customHeight="1">
      <c r="A528" s="5">
        <v>0</v>
      </c>
      <c r="B528" s="6" t="s">
        <v>3187</v>
      </c>
      <c r="C528" s="7">
        <v>1272</v>
      </c>
      <c r="D528" s="8" t="s">
        <v>3188</v>
      </c>
      <c r="E528" s="8" t="s">
        <v>3189</v>
      </c>
      <c r="F528" s="8" t="s">
        <v>3190</v>
      </c>
      <c r="G528" s="6" t="s">
        <v>38</v>
      </c>
      <c r="H528" s="6" t="s">
        <v>39</v>
      </c>
      <c r="I528" s="8" t="s">
        <v>40</v>
      </c>
      <c r="J528" s="9">
        <v>1</v>
      </c>
      <c r="K528" s="9">
        <v>271</v>
      </c>
      <c r="L528" s="9">
        <v>2022</v>
      </c>
      <c r="M528" s="8" t="s">
        <v>3191</v>
      </c>
      <c r="N528" s="8" t="s">
        <v>144</v>
      </c>
      <c r="O528" s="8" t="s">
        <v>145</v>
      </c>
      <c r="P528" s="6" t="s">
        <v>44</v>
      </c>
      <c r="Q528" s="8" t="s">
        <v>45</v>
      </c>
      <c r="R528" s="10" t="s">
        <v>3192</v>
      </c>
      <c r="S528" s="11"/>
      <c r="T528" s="6"/>
      <c r="U528" s="24" t="str">
        <f>HYPERLINK("https://media.infra-m.ru/1840/1840120/cover/1840120.jpg", "Обложка")</f>
        <v>Обложка</v>
      </c>
      <c r="V528" s="24" t="str">
        <f>HYPERLINK("https://znanium.ru/catalog/product/1840120", "Ознакомиться")</f>
        <v>Ознакомиться</v>
      </c>
      <c r="W528" s="8" t="s">
        <v>74</v>
      </c>
      <c r="X528" s="6"/>
      <c r="Y528" s="6"/>
      <c r="Z528" s="6"/>
      <c r="AA528" s="6" t="s">
        <v>264</v>
      </c>
      <c r="AB528" s="8"/>
    </row>
    <row r="529" spans="1:28" s="4" customFormat="1" ht="44.1" customHeight="1">
      <c r="A529" s="5">
        <v>0</v>
      </c>
      <c r="B529" s="6" t="s">
        <v>3193</v>
      </c>
      <c r="C529" s="7">
        <v>2152.8000000000002</v>
      </c>
      <c r="D529" s="8" t="s">
        <v>3194</v>
      </c>
      <c r="E529" s="8" t="s">
        <v>3195</v>
      </c>
      <c r="F529" s="8" t="s">
        <v>3196</v>
      </c>
      <c r="G529" s="6" t="s">
        <v>96</v>
      </c>
      <c r="H529" s="6" t="s">
        <v>39</v>
      </c>
      <c r="I529" s="8" t="s">
        <v>40</v>
      </c>
      <c r="J529" s="9">
        <v>1</v>
      </c>
      <c r="K529" s="9">
        <v>361</v>
      </c>
      <c r="L529" s="9">
        <v>2025</v>
      </c>
      <c r="M529" s="8" t="s">
        <v>3197</v>
      </c>
      <c r="N529" s="8" t="s">
        <v>144</v>
      </c>
      <c r="O529" s="8" t="s">
        <v>145</v>
      </c>
      <c r="P529" s="6" t="s">
        <v>44</v>
      </c>
      <c r="Q529" s="8" t="s">
        <v>45</v>
      </c>
      <c r="R529" s="10" t="s">
        <v>1270</v>
      </c>
      <c r="S529" s="11"/>
      <c r="T529" s="6" t="s">
        <v>633</v>
      </c>
      <c r="U529" s="24" t="str">
        <f>HYPERLINK("https://media.infra-m.ru/2087/2087309/cover/2087309.jpg", "Обложка")</f>
        <v>Обложка</v>
      </c>
      <c r="V529" s="24" t="str">
        <f>HYPERLINK("https://znanium.ru/catalog/product/1857069", "Ознакомиться")</f>
        <v>Ознакомиться</v>
      </c>
      <c r="W529" s="8" t="s">
        <v>241</v>
      </c>
      <c r="X529" s="6"/>
      <c r="Y529" s="6"/>
      <c r="Z529" s="6"/>
      <c r="AA529" s="6" t="s">
        <v>83</v>
      </c>
      <c r="AB529" s="8"/>
    </row>
    <row r="530" spans="1:28" s="4" customFormat="1" ht="51.95" customHeight="1">
      <c r="A530" s="5">
        <v>0</v>
      </c>
      <c r="B530" s="6" t="s">
        <v>3198</v>
      </c>
      <c r="C530" s="7">
        <v>1008</v>
      </c>
      <c r="D530" s="8" t="s">
        <v>3199</v>
      </c>
      <c r="E530" s="8" t="s">
        <v>3200</v>
      </c>
      <c r="F530" s="8" t="s">
        <v>3201</v>
      </c>
      <c r="G530" s="6" t="s">
        <v>38</v>
      </c>
      <c r="H530" s="6" t="s">
        <v>39</v>
      </c>
      <c r="I530" s="8" t="s">
        <v>40</v>
      </c>
      <c r="J530" s="9">
        <v>1</v>
      </c>
      <c r="K530" s="9">
        <v>183</v>
      </c>
      <c r="L530" s="9">
        <v>2022</v>
      </c>
      <c r="M530" s="8" t="s">
        <v>3202</v>
      </c>
      <c r="N530" s="8" t="s">
        <v>144</v>
      </c>
      <c r="O530" s="8" t="s">
        <v>145</v>
      </c>
      <c r="P530" s="6" t="s">
        <v>44</v>
      </c>
      <c r="Q530" s="8" t="s">
        <v>45</v>
      </c>
      <c r="R530" s="10" t="s">
        <v>3203</v>
      </c>
      <c r="S530" s="11"/>
      <c r="T530" s="6"/>
      <c r="U530" s="24" t="str">
        <f>HYPERLINK("https://media.infra-m.ru/1859/1859605/cover/1859605.jpg", "Обложка")</f>
        <v>Обложка</v>
      </c>
      <c r="V530" s="24" t="str">
        <f>HYPERLINK("https://znanium.ru/catalog/product/1859605", "Ознакомиться")</f>
        <v>Ознакомиться</v>
      </c>
      <c r="W530" s="8" t="s">
        <v>3204</v>
      </c>
      <c r="X530" s="6"/>
      <c r="Y530" s="6"/>
      <c r="Z530" s="6"/>
      <c r="AA530" s="6" t="s">
        <v>83</v>
      </c>
      <c r="AB530" s="8"/>
    </row>
    <row r="531" spans="1:28" s="4" customFormat="1" ht="51.95" customHeight="1">
      <c r="A531" s="5">
        <v>0</v>
      </c>
      <c r="B531" s="6" t="s">
        <v>3205</v>
      </c>
      <c r="C531" s="7">
        <v>1524</v>
      </c>
      <c r="D531" s="8" t="s">
        <v>3206</v>
      </c>
      <c r="E531" s="8" t="s">
        <v>3207</v>
      </c>
      <c r="F531" s="8" t="s">
        <v>3208</v>
      </c>
      <c r="G531" s="6" t="s">
        <v>96</v>
      </c>
      <c r="H531" s="6" t="s">
        <v>39</v>
      </c>
      <c r="I531" s="8" t="s">
        <v>40</v>
      </c>
      <c r="J531" s="9">
        <v>1</v>
      </c>
      <c r="K531" s="9">
        <v>274</v>
      </c>
      <c r="L531" s="9">
        <v>2023</v>
      </c>
      <c r="M531" s="8" t="s">
        <v>3209</v>
      </c>
      <c r="N531" s="8" t="s">
        <v>144</v>
      </c>
      <c r="O531" s="8" t="s">
        <v>145</v>
      </c>
      <c r="P531" s="6" t="s">
        <v>44</v>
      </c>
      <c r="Q531" s="8" t="s">
        <v>45</v>
      </c>
      <c r="R531" s="10" t="s">
        <v>3210</v>
      </c>
      <c r="S531" s="11"/>
      <c r="T531" s="6"/>
      <c r="U531" s="24" t="str">
        <f>HYPERLINK("https://media.infra-m.ru/1989/1989214/cover/1989214.jpg", "Обложка")</f>
        <v>Обложка</v>
      </c>
      <c r="V531" s="24" t="str">
        <f>HYPERLINK("https://znanium.ru/catalog/product/1989214", "Ознакомиться")</f>
        <v>Ознакомиться</v>
      </c>
      <c r="W531" s="8" t="s">
        <v>3211</v>
      </c>
      <c r="X531" s="6"/>
      <c r="Y531" s="6"/>
      <c r="Z531" s="6"/>
      <c r="AA531" s="6" t="s">
        <v>91</v>
      </c>
      <c r="AB531" s="8"/>
    </row>
    <row r="532" spans="1:28" s="4" customFormat="1" ht="51.95" customHeight="1">
      <c r="A532" s="5">
        <v>0</v>
      </c>
      <c r="B532" s="6" t="s">
        <v>3212</v>
      </c>
      <c r="C532" s="13">
        <v>708</v>
      </c>
      <c r="D532" s="8" t="s">
        <v>3213</v>
      </c>
      <c r="E532" s="8" t="s">
        <v>3214</v>
      </c>
      <c r="F532" s="8" t="s">
        <v>3215</v>
      </c>
      <c r="G532" s="6" t="s">
        <v>38</v>
      </c>
      <c r="H532" s="6" t="s">
        <v>39</v>
      </c>
      <c r="I532" s="8" t="s">
        <v>40</v>
      </c>
      <c r="J532" s="9">
        <v>1</v>
      </c>
      <c r="K532" s="9">
        <v>126</v>
      </c>
      <c r="L532" s="9">
        <v>2023</v>
      </c>
      <c r="M532" s="8" t="s">
        <v>3216</v>
      </c>
      <c r="N532" s="8" t="s">
        <v>144</v>
      </c>
      <c r="O532" s="8" t="s">
        <v>145</v>
      </c>
      <c r="P532" s="6" t="s">
        <v>44</v>
      </c>
      <c r="Q532" s="8" t="s">
        <v>45</v>
      </c>
      <c r="R532" s="10" t="s">
        <v>3217</v>
      </c>
      <c r="S532" s="11"/>
      <c r="T532" s="6"/>
      <c r="U532" s="24" t="str">
        <f>HYPERLINK("https://media.infra-m.ru/2018/2018247/cover/2018247.jpg", "Обложка")</f>
        <v>Обложка</v>
      </c>
      <c r="V532" s="24" t="str">
        <f>HYPERLINK("https://znanium.ru/catalog/product/2018247", "Ознакомиться")</f>
        <v>Ознакомиться</v>
      </c>
      <c r="W532" s="8" t="s">
        <v>2005</v>
      </c>
      <c r="X532" s="6"/>
      <c r="Y532" s="6"/>
      <c r="Z532" s="6"/>
      <c r="AA532" s="6" t="s">
        <v>138</v>
      </c>
      <c r="AB532" s="8"/>
    </row>
    <row r="533" spans="1:28" s="4" customFormat="1" ht="44.1" customHeight="1">
      <c r="A533" s="5">
        <v>0</v>
      </c>
      <c r="B533" s="6" t="s">
        <v>3218</v>
      </c>
      <c r="C533" s="7">
        <v>1248</v>
      </c>
      <c r="D533" s="8" t="s">
        <v>3219</v>
      </c>
      <c r="E533" s="8" t="s">
        <v>3220</v>
      </c>
      <c r="F533" s="8" t="s">
        <v>3221</v>
      </c>
      <c r="G533" s="6" t="s">
        <v>38</v>
      </c>
      <c r="H533" s="6" t="s">
        <v>39</v>
      </c>
      <c r="I533" s="8" t="s">
        <v>40</v>
      </c>
      <c r="J533" s="9">
        <v>1</v>
      </c>
      <c r="K533" s="9">
        <v>229</v>
      </c>
      <c r="L533" s="9">
        <v>2023</v>
      </c>
      <c r="M533" s="8" t="s">
        <v>3222</v>
      </c>
      <c r="N533" s="8" t="s">
        <v>144</v>
      </c>
      <c r="O533" s="8" t="s">
        <v>145</v>
      </c>
      <c r="P533" s="6" t="s">
        <v>44</v>
      </c>
      <c r="Q533" s="8" t="s">
        <v>45</v>
      </c>
      <c r="R533" s="10" t="s">
        <v>2320</v>
      </c>
      <c r="S533" s="11"/>
      <c r="T533" s="6"/>
      <c r="U533" s="24" t="str">
        <f>HYPERLINK("https://media.infra-m.ru/1876/1876370/cover/1876370.jpg", "Обложка")</f>
        <v>Обложка</v>
      </c>
      <c r="V533" s="24" t="str">
        <f>HYPERLINK("https://znanium.ru/catalog/product/1876370", "Ознакомиться")</f>
        <v>Ознакомиться</v>
      </c>
      <c r="W533" s="8" t="s">
        <v>2593</v>
      </c>
      <c r="X533" s="6"/>
      <c r="Y533" s="6"/>
      <c r="Z533" s="6"/>
      <c r="AA533" s="6" t="s">
        <v>91</v>
      </c>
      <c r="AB533" s="8"/>
    </row>
    <row r="534" spans="1:28" s="4" customFormat="1" ht="42" customHeight="1">
      <c r="A534" s="5">
        <v>0</v>
      </c>
      <c r="B534" s="6" t="s">
        <v>3223</v>
      </c>
      <c r="C534" s="7">
        <v>1492.8</v>
      </c>
      <c r="D534" s="8" t="s">
        <v>3224</v>
      </c>
      <c r="E534" s="8" t="s">
        <v>3225</v>
      </c>
      <c r="F534" s="8" t="s">
        <v>3226</v>
      </c>
      <c r="G534" s="6" t="s">
        <v>38</v>
      </c>
      <c r="H534" s="6" t="s">
        <v>39</v>
      </c>
      <c r="I534" s="8" t="s">
        <v>40</v>
      </c>
      <c r="J534" s="9">
        <v>1</v>
      </c>
      <c r="K534" s="9">
        <v>234</v>
      </c>
      <c r="L534" s="9">
        <v>2026</v>
      </c>
      <c r="M534" s="8" t="s">
        <v>3227</v>
      </c>
      <c r="N534" s="8" t="s">
        <v>144</v>
      </c>
      <c r="O534" s="8" t="s">
        <v>145</v>
      </c>
      <c r="P534" s="6" t="s">
        <v>44</v>
      </c>
      <c r="Q534" s="8" t="s">
        <v>45</v>
      </c>
      <c r="R534" s="10" t="s">
        <v>146</v>
      </c>
      <c r="S534" s="11"/>
      <c r="T534" s="6"/>
      <c r="U534" s="24" t="str">
        <f>HYPERLINK("https://media.infra-m.ru/2220/2220993/cover/2220993.jpg", "Обложка")</f>
        <v>Обложка</v>
      </c>
      <c r="V534" s="24" t="str">
        <f>HYPERLINK("https://znanium.ru/catalog/product/2119112", "Ознакомиться")</f>
        <v>Ознакомиться</v>
      </c>
      <c r="W534" s="8" t="s">
        <v>2389</v>
      </c>
      <c r="X534" s="6"/>
      <c r="Y534" s="6"/>
      <c r="Z534" s="6"/>
      <c r="AA534" s="6" t="s">
        <v>227</v>
      </c>
      <c r="AB534" s="8"/>
    </row>
    <row r="535" spans="1:28" s="4" customFormat="1" ht="42" customHeight="1">
      <c r="A535" s="5">
        <v>0</v>
      </c>
      <c r="B535" s="6" t="s">
        <v>3228</v>
      </c>
      <c r="C535" s="7">
        <v>1020</v>
      </c>
      <c r="D535" s="8" t="s">
        <v>3229</v>
      </c>
      <c r="E535" s="8" t="s">
        <v>3230</v>
      </c>
      <c r="F535" s="8" t="s">
        <v>3226</v>
      </c>
      <c r="G535" s="6" t="s">
        <v>96</v>
      </c>
      <c r="H535" s="6" t="s">
        <v>39</v>
      </c>
      <c r="I535" s="8" t="s">
        <v>40</v>
      </c>
      <c r="J535" s="9">
        <v>1</v>
      </c>
      <c r="K535" s="9">
        <v>178</v>
      </c>
      <c r="L535" s="9">
        <v>2024</v>
      </c>
      <c r="M535" s="8" t="s">
        <v>3231</v>
      </c>
      <c r="N535" s="8" t="s">
        <v>144</v>
      </c>
      <c r="O535" s="8" t="s">
        <v>145</v>
      </c>
      <c r="P535" s="6" t="s">
        <v>44</v>
      </c>
      <c r="Q535" s="8" t="s">
        <v>45</v>
      </c>
      <c r="R535" s="10" t="s">
        <v>969</v>
      </c>
      <c r="S535" s="11"/>
      <c r="T535" s="6"/>
      <c r="U535" s="24" t="str">
        <f>HYPERLINK("https://media.infra-m.ru/2081/2081624/cover/2081624.jpg", "Обложка")</f>
        <v>Обложка</v>
      </c>
      <c r="V535" s="24" t="str">
        <f>HYPERLINK("https://znanium.ru/catalog/product/2081624", "Ознакомиться")</f>
        <v>Ознакомиться</v>
      </c>
      <c r="W535" s="8" t="s">
        <v>2389</v>
      </c>
      <c r="X535" s="6"/>
      <c r="Y535" s="6"/>
      <c r="Z535" s="6"/>
      <c r="AA535" s="6" t="s">
        <v>48</v>
      </c>
      <c r="AB535" s="8"/>
    </row>
    <row r="536" spans="1:28" s="4" customFormat="1" ht="42" customHeight="1">
      <c r="A536" s="5">
        <v>0</v>
      </c>
      <c r="B536" s="6" t="s">
        <v>3232</v>
      </c>
      <c r="C536" s="7">
        <v>1224</v>
      </c>
      <c r="D536" s="8" t="s">
        <v>3233</v>
      </c>
      <c r="E536" s="8" t="s">
        <v>3234</v>
      </c>
      <c r="F536" s="8" t="s">
        <v>3235</v>
      </c>
      <c r="G536" s="6" t="s">
        <v>62</v>
      </c>
      <c r="H536" s="6" t="s">
        <v>39</v>
      </c>
      <c r="I536" s="8" t="s">
        <v>421</v>
      </c>
      <c r="J536" s="9">
        <v>1</v>
      </c>
      <c r="K536" s="9">
        <v>175</v>
      </c>
      <c r="L536" s="9">
        <v>2026</v>
      </c>
      <c r="M536" s="8" t="s">
        <v>3236</v>
      </c>
      <c r="N536" s="8" t="s">
        <v>144</v>
      </c>
      <c r="O536" s="8" t="s">
        <v>145</v>
      </c>
      <c r="P536" s="6" t="s">
        <v>425</v>
      </c>
      <c r="Q536" s="8"/>
      <c r="R536" s="10" t="s">
        <v>3237</v>
      </c>
      <c r="S536" s="11"/>
      <c r="T536" s="6"/>
      <c r="U536" s="24" t="str">
        <f>HYPERLINK("https://media.infra-m.ru/2212/2212242/cover/2212242.jpg", "Обложка")</f>
        <v>Обложка</v>
      </c>
      <c r="V536" s="24" t="str">
        <f>HYPERLINK("https://znanium.ru/catalog/product/2212242", "Ознакомиться")</f>
        <v>Ознакомиться</v>
      </c>
      <c r="W536" s="8" t="s">
        <v>3238</v>
      </c>
      <c r="X536" s="6"/>
      <c r="Y536" s="6"/>
      <c r="Z536" s="6"/>
      <c r="AA536" s="6" t="s">
        <v>222</v>
      </c>
      <c r="AB536" s="8"/>
    </row>
    <row r="537" spans="1:28" s="4" customFormat="1" ht="42" customHeight="1">
      <c r="A537" s="5">
        <v>0</v>
      </c>
      <c r="B537" s="6" t="s">
        <v>3239</v>
      </c>
      <c r="C537" s="7">
        <v>1200</v>
      </c>
      <c r="D537" s="8" t="s">
        <v>3240</v>
      </c>
      <c r="E537" s="8" t="s">
        <v>3241</v>
      </c>
      <c r="F537" s="8" t="s">
        <v>3242</v>
      </c>
      <c r="G537" s="6" t="s">
        <v>38</v>
      </c>
      <c r="H537" s="6" t="s">
        <v>39</v>
      </c>
      <c r="I537" s="8" t="s">
        <v>40</v>
      </c>
      <c r="J537" s="9">
        <v>1</v>
      </c>
      <c r="K537" s="9">
        <v>207</v>
      </c>
      <c r="L537" s="9">
        <v>2024</v>
      </c>
      <c r="M537" s="8" t="s">
        <v>3243</v>
      </c>
      <c r="N537" s="8" t="s">
        <v>144</v>
      </c>
      <c r="O537" s="8" t="s">
        <v>145</v>
      </c>
      <c r="P537" s="6" t="s">
        <v>44</v>
      </c>
      <c r="Q537" s="8" t="s">
        <v>45</v>
      </c>
      <c r="R537" s="10" t="s">
        <v>2619</v>
      </c>
      <c r="S537" s="11"/>
      <c r="T537" s="6"/>
      <c r="U537" s="24" t="str">
        <f>HYPERLINK("https://media.infra-m.ru/2125/2125037/cover/2125037.jpg", "Обложка")</f>
        <v>Обложка</v>
      </c>
      <c r="V537" s="24" t="str">
        <f>HYPERLINK("https://znanium.ru/catalog/product/2125037", "Ознакомиться")</f>
        <v>Ознакомиться</v>
      </c>
      <c r="W537" s="8" t="s">
        <v>315</v>
      </c>
      <c r="X537" s="6"/>
      <c r="Y537" s="6"/>
      <c r="Z537" s="6"/>
      <c r="AA537" s="6" t="s">
        <v>48</v>
      </c>
      <c r="AB537" s="8"/>
    </row>
    <row r="538" spans="1:28" s="4" customFormat="1" ht="44.1" customHeight="1">
      <c r="A538" s="5">
        <v>0</v>
      </c>
      <c r="B538" s="6" t="s">
        <v>3244</v>
      </c>
      <c r="C538" s="7">
        <v>1140</v>
      </c>
      <c r="D538" s="8" t="s">
        <v>3245</v>
      </c>
      <c r="E538" s="8" t="s">
        <v>3246</v>
      </c>
      <c r="F538" s="8" t="s">
        <v>3247</v>
      </c>
      <c r="G538" s="6" t="s">
        <v>38</v>
      </c>
      <c r="H538" s="6" t="s">
        <v>39</v>
      </c>
      <c r="I538" s="8" t="s">
        <v>40</v>
      </c>
      <c r="J538" s="9">
        <v>1</v>
      </c>
      <c r="K538" s="9">
        <v>172</v>
      </c>
      <c r="L538" s="9">
        <v>2026</v>
      </c>
      <c r="M538" s="8" t="s">
        <v>3248</v>
      </c>
      <c r="N538" s="8" t="s">
        <v>144</v>
      </c>
      <c r="O538" s="8" t="s">
        <v>145</v>
      </c>
      <c r="P538" s="6" t="s">
        <v>44</v>
      </c>
      <c r="Q538" s="8" t="s">
        <v>45</v>
      </c>
      <c r="R538" s="10" t="s">
        <v>3249</v>
      </c>
      <c r="S538" s="11"/>
      <c r="T538" s="6"/>
      <c r="U538" s="24" t="str">
        <f>HYPERLINK("https://media.infra-m.ru/2227/2227945/cover/2227945.jpg", "Обложка")</f>
        <v>Обложка</v>
      </c>
      <c r="V538" s="24" t="str">
        <f>HYPERLINK("https://znanium.ru/catalog/product/2227945", "Ознакомиться")</f>
        <v>Ознакомиться</v>
      </c>
      <c r="W538" s="8" t="s">
        <v>3129</v>
      </c>
      <c r="X538" s="6"/>
      <c r="Y538" s="6"/>
      <c r="Z538" s="6"/>
      <c r="AA538" s="6" t="s">
        <v>91</v>
      </c>
      <c r="AB538" s="8"/>
    </row>
    <row r="539" spans="1:28" s="4" customFormat="1" ht="42" customHeight="1">
      <c r="A539" s="5">
        <v>0</v>
      </c>
      <c r="B539" s="6" t="s">
        <v>3250</v>
      </c>
      <c r="C539" s="13">
        <v>856.8</v>
      </c>
      <c r="D539" s="8" t="s">
        <v>3251</v>
      </c>
      <c r="E539" s="8" t="s">
        <v>3252</v>
      </c>
      <c r="F539" s="8" t="s">
        <v>3253</v>
      </c>
      <c r="G539" s="6" t="s">
        <v>38</v>
      </c>
      <c r="H539" s="6" t="s">
        <v>39</v>
      </c>
      <c r="I539" s="8" t="s">
        <v>40</v>
      </c>
      <c r="J539" s="9">
        <v>1</v>
      </c>
      <c r="K539" s="9">
        <v>149</v>
      </c>
      <c r="L539" s="9">
        <v>2024</v>
      </c>
      <c r="M539" s="8" t="s">
        <v>3254</v>
      </c>
      <c r="N539" s="8" t="s">
        <v>42</v>
      </c>
      <c r="O539" s="8" t="s">
        <v>72</v>
      </c>
      <c r="P539" s="6" t="s">
        <v>44</v>
      </c>
      <c r="Q539" s="8" t="s">
        <v>45</v>
      </c>
      <c r="R539" s="10" t="s">
        <v>581</v>
      </c>
      <c r="S539" s="11"/>
      <c r="T539" s="6"/>
      <c r="U539" s="24" t="str">
        <f>HYPERLINK("https://media.infra-m.ru/2052/2052446/cover/2052446.jpg", "Обложка")</f>
        <v>Обложка</v>
      </c>
      <c r="V539" s="24" t="str">
        <f>HYPERLINK("https://znanium.ru/catalog/product/2052446", "Ознакомиться")</f>
        <v>Ознакомиться</v>
      </c>
      <c r="W539" s="8" t="s">
        <v>3255</v>
      </c>
      <c r="X539" s="6"/>
      <c r="Y539" s="6"/>
      <c r="Z539" s="6"/>
      <c r="AA539" s="6" t="s">
        <v>138</v>
      </c>
      <c r="AB539" s="8"/>
    </row>
    <row r="540" spans="1:28" s="4" customFormat="1" ht="42" customHeight="1">
      <c r="A540" s="5">
        <v>0</v>
      </c>
      <c r="B540" s="6" t="s">
        <v>3256</v>
      </c>
      <c r="C540" s="13">
        <v>475.1</v>
      </c>
      <c r="D540" s="8" t="s">
        <v>3257</v>
      </c>
      <c r="E540" s="8" t="s">
        <v>3258</v>
      </c>
      <c r="F540" s="8" t="s">
        <v>3259</v>
      </c>
      <c r="G540" s="6" t="s">
        <v>96</v>
      </c>
      <c r="H540" s="6" t="s">
        <v>167</v>
      </c>
      <c r="I540" s="8"/>
      <c r="J540" s="14">
        <v>0</v>
      </c>
      <c r="K540" s="9">
        <v>192</v>
      </c>
      <c r="L540" s="9">
        <v>2013</v>
      </c>
      <c r="M540" s="8" t="s">
        <v>3260</v>
      </c>
      <c r="N540" s="8" t="s">
        <v>119</v>
      </c>
      <c r="O540" s="8" t="s">
        <v>120</v>
      </c>
      <c r="P540" s="6" t="s">
        <v>248</v>
      </c>
      <c r="Q540" s="8" t="s">
        <v>45</v>
      </c>
      <c r="R540" s="10"/>
      <c r="S540" s="11"/>
      <c r="T540" s="6"/>
      <c r="U540" s="24" t="str">
        <f>HYPERLINK("https://media.infra-m.ru/0765/0765847/cover/765847.jpg", "Обложка")</f>
        <v>Обложка</v>
      </c>
      <c r="V540" s="12"/>
      <c r="W540" s="8" t="s">
        <v>202</v>
      </c>
      <c r="X540" s="6"/>
      <c r="Y540" s="6"/>
      <c r="Z540" s="6"/>
      <c r="AA540" s="6" t="s">
        <v>264</v>
      </c>
      <c r="AB540" s="8"/>
    </row>
    <row r="541" spans="1:28" s="4" customFormat="1" ht="51.95" customHeight="1">
      <c r="A541" s="5">
        <v>0</v>
      </c>
      <c r="B541" s="6" t="s">
        <v>3261</v>
      </c>
      <c r="C541" s="13">
        <v>948</v>
      </c>
      <c r="D541" s="8" t="s">
        <v>3262</v>
      </c>
      <c r="E541" s="8" t="s">
        <v>3263</v>
      </c>
      <c r="F541" s="8" t="s">
        <v>3264</v>
      </c>
      <c r="G541" s="6" t="s">
        <v>38</v>
      </c>
      <c r="H541" s="6" t="s">
        <v>39</v>
      </c>
      <c r="I541" s="8" t="s">
        <v>757</v>
      </c>
      <c r="J541" s="9">
        <v>1</v>
      </c>
      <c r="K541" s="9">
        <v>176</v>
      </c>
      <c r="L541" s="9">
        <v>2023</v>
      </c>
      <c r="M541" s="8" t="s">
        <v>3265</v>
      </c>
      <c r="N541" s="8" t="s">
        <v>119</v>
      </c>
      <c r="O541" s="8" t="s">
        <v>120</v>
      </c>
      <c r="P541" s="6" t="s">
        <v>248</v>
      </c>
      <c r="Q541" s="8" t="s">
        <v>45</v>
      </c>
      <c r="R541" s="10" t="s">
        <v>2694</v>
      </c>
      <c r="S541" s="11"/>
      <c r="T541" s="6"/>
      <c r="U541" s="24" t="str">
        <f>HYPERLINK("https://media.infra-m.ru/1897/1897017/cover/1897017.jpg", "Обложка")</f>
        <v>Обложка</v>
      </c>
      <c r="V541" s="24" t="str">
        <f>HYPERLINK("https://znanium.ru/catalog/product/1897017", "Ознакомиться")</f>
        <v>Ознакомиться</v>
      </c>
      <c r="W541" s="8"/>
      <c r="X541" s="6"/>
      <c r="Y541" s="6"/>
      <c r="Z541" s="6"/>
      <c r="AA541" s="6" t="s">
        <v>129</v>
      </c>
      <c r="AB541" s="8"/>
    </row>
    <row r="542" spans="1:28" s="4" customFormat="1" ht="44.1" customHeight="1">
      <c r="A542" s="5">
        <v>0</v>
      </c>
      <c r="B542" s="6" t="s">
        <v>3266</v>
      </c>
      <c r="C542" s="13">
        <v>940.8</v>
      </c>
      <c r="D542" s="8" t="s">
        <v>3267</v>
      </c>
      <c r="E542" s="8" t="s">
        <v>3268</v>
      </c>
      <c r="F542" s="8" t="s">
        <v>297</v>
      </c>
      <c r="G542" s="6" t="s">
        <v>38</v>
      </c>
      <c r="H542" s="6" t="s">
        <v>39</v>
      </c>
      <c r="I542" s="8" t="s">
        <v>40</v>
      </c>
      <c r="J542" s="9">
        <v>1</v>
      </c>
      <c r="K542" s="9">
        <v>172</v>
      </c>
      <c r="L542" s="9">
        <v>2023</v>
      </c>
      <c r="M542" s="8" t="s">
        <v>3269</v>
      </c>
      <c r="N542" s="8" t="s">
        <v>42</v>
      </c>
      <c r="O542" s="8" t="s">
        <v>43</v>
      </c>
      <c r="P542" s="6" t="s">
        <v>44</v>
      </c>
      <c r="Q542" s="8" t="s">
        <v>45</v>
      </c>
      <c r="R542" s="10" t="s">
        <v>2071</v>
      </c>
      <c r="S542" s="11"/>
      <c r="T542" s="6"/>
      <c r="U542" s="24" t="str">
        <f>HYPERLINK("https://media.infra-m.ru/2006/2006086/cover/2006086.jpg", "Обложка")</f>
        <v>Обложка</v>
      </c>
      <c r="V542" s="24" t="str">
        <f>HYPERLINK("https://znanium.ru/catalog/product/1070324", "Ознакомиться")</f>
        <v>Ознакомиться</v>
      </c>
      <c r="W542" s="8" t="s">
        <v>241</v>
      </c>
      <c r="X542" s="6"/>
      <c r="Y542" s="6"/>
      <c r="Z542" s="6"/>
      <c r="AA542" s="6" t="s">
        <v>138</v>
      </c>
      <c r="AB542" s="8"/>
    </row>
    <row r="543" spans="1:28" s="4" customFormat="1" ht="42" customHeight="1">
      <c r="A543" s="5">
        <v>0</v>
      </c>
      <c r="B543" s="6" t="s">
        <v>3270</v>
      </c>
      <c r="C543" s="7">
        <v>2620.8000000000002</v>
      </c>
      <c r="D543" s="8" t="s">
        <v>3271</v>
      </c>
      <c r="E543" s="8" t="s">
        <v>3272</v>
      </c>
      <c r="F543" s="8" t="s">
        <v>3273</v>
      </c>
      <c r="G543" s="6" t="s">
        <v>96</v>
      </c>
      <c r="H543" s="6" t="s">
        <v>39</v>
      </c>
      <c r="I543" s="8" t="s">
        <v>40</v>
      </c>
      <c r="J543" s="9">
        <v>1</v>
      </c>
      <c r="K543" s="9">
        <v>420</v>
      </c>
      <c r="L543" s="9">
        <v>2026</v>
      </c>
      <c r="M543" s="8" t="s">
        <v>3274</v>
      </c>
      <c r="N543" s="8"/>
      <c r="O543" s="8"/>
      <c r="P543" s="6" t="s">
        <v>44</v>
      </c>
      <c r="Q543" s="8" t="s">
        <v>45</v>
      </c>
      <c r="R543" s="10" t="s">
        <v>3275</v>
      </c>
      <c r="S543" s="11"/>
      <c r="T543" s="6"/>
      <c r="U543" s="24" t="str">
        <f>HYPERLINK("https://media.infra-m.ru/2191/2191323/cover/2191323.jpg", "Обложка")</f>
        <v>Обложка</v>
      </c>
      <c r="V543" s="24" t="str">
        <f>HYPERLINK("https://znanium.ru/catalog/product/2189474", "Ознакомиться")</f>
        <v>Ознакомиться</v>
      </c>
      <c r="W543" s="8" t="s">
        <v>936</v>
      </c>
      <c r="X543" s="6"/>
      <c r="Y543" s="6"/>
      <c r="Z543" s="6"/>
      <c r="AA543" s="6" t="s">
        <v>48</v>
      </c>
      <c r="AB543" s="8"/>
    </row>
    <row r="544" spans="1:28" s="4" customFormat="1" ht="51.95" customHeight="1">
      <c r="A544" s="5">
        <v>0</v>
      </c>
      <c r="B544" s="6" t="s">
        <v>3276</v>
      </c>
      <c r="C544" s="7">
        <v>1488</v>
      </c>
      <c r="D544" s="8" t="s">
        <v>3277</v>
      </c>
      <c r="E544" s="8" t="s">
        <v>3278</v>
      </c>
      <c r="F544" s="8" t="s">
        <v>3279</v>
      </c>
      <c r="G544" s="6" t="s">
        <v>38</v>
      </c>
      <c r="H544" s="6" t="s">
        <v>531</v>
      </c>
      <c r="I544" s="8" t="s">
        <v>532</v>
      </c>
      <c r="J544" s="9">
        <v>1</v>
      </c>
      <c r="K544" s="9">
        <v>262</v>
      </c>
      <c r="L544" s="9">
        <v>2024</v>
      </c>
      <c r="M544" s="8" t="s">
        <v>3280</v>
      </c>
      <c r="N544" s="8" t="s">
        <v>42</v>
      </c>
      <c r="O544" s="8" t="s">
        <v>908</v>
      </c>
      <c r="P544" s="6" t="s">
        <v>44</v>
      </c>
      <c r="Q544" s="8" t="s">
        <v>45</v>
      </c>
      <c r="R544" s="10" t="s">
        <v>3281</v>
      </c>
      <c r="S544" s="11"/>
      <c r="T544" s="6"/>
      <c r="U544" s="24" t="str">
        <f>HYPERLINK("https://media.infra-m.ru/2057/2057694/cover/2057694.jpg", "Обложка")</f>
        <v>Обложка</v>
      </c>
      <c r="V544" s="24" t="str">
        <f>HYPERLINK("https://znanium.ru/catalog/product/2057694", "Ознакомиться")</f>
        <v>Ознакомиться</v>
      </c>
      <c r="W544" s="8" t="s">
        <v>3282</v>
      </c>
      <c r="X544" s="6"/>
      <c r="Y544" s="6"/>
      <c r="Z544" s="6"/>
      <c r="AA544" s="6" t="s">
        <v>273</v>
      </c>
      <c r="AB544" s="8"/>
    </row>
    <row r="545" spans="1:28" s="4" customFormat="1" ht="51.95" customHeight="1">
      <c r="A545" s="5">
        <v>0</v>
      </c>
      <c r="B545" s="6" t="s">
        <v>3283</v>
      </c>
      <c r="C545" s="7">
        <v>1264.8</v>
      </c>
      <c r="D545" s="8" t="s">
        <v>3284</v>
      </c>
      <c r="E545" s="8" t="s">
        <v>3285</v>
      </c>
      <c r="F545" s="8" t="s">
        <v>3286</v>
      </c>
      <c r="G545" s="6" t="s">
        <v>38</v>
      </c>
      <c r="H545" s="6" t="s">
        <v>39</v>
      </c>
      <c r="I545" s="8" t="s">
        <v>757</v>
      </c>
      <c r="J545" s="9">
        <v>1</v>
      </c>
      <c r="K545" s="9">
        <v>203</v>
      </c>
      <c r="L545" s="9">
        <v>2025</v>
      </c>
      <c r="M545" s="8" t="s">
        <v>3287</v>
      </c>
      <c r="N545" s="8" t="s">
        <v>119</v>
      </c>
      <c r="O545" s="8" t="s">
        <v>120</v>
      </c>
      <c r="P545" s="6" t="s">
        <v>169</v>
      </c>
      <c r="Q545" s="8" t="s">
        <v>45</v>
      </c>
      <c r="R545" s="10" t="s">
        <v>3288</v>
      </c>
      <c r="S545" s="11"/>
      <c r="T545" s="6"/>
      <c r="U545" s="24" t="str">
        <f>HYPERLINK("https://media.infra-m.ru/2196/2196091/cover/2196091.jpg", "Обложка")</f>
        <v>Обложка</v>
      </c>
      <c r="V545" s="24" t="str">
        <f>HYPERLINK("https://znanium.ru/catalog/product/1228787", "Ознакомиться")</f>
        <v>Ознакомиться</v>
      </c>
      <c r="W545" s="8" t="s">
        <v>505</v>
      </c>
      <c r="X545" s="6"/>
      <c r="Y545" s="6"/>
      <c r="Z545" s="6"/>
      <c r="AA545" s="6" t="s">
        <v>183</v>
      </c>
      <c r="AB545" s="8"/>
    </row>
    <row r="546" spans="1:28" s="4" customFormat="1" ht="44.1" customHeight="1">
      <c r="A546" s="5">
        <v>0</v>
      </c>
      <c r="B546" s="6" t="s">
        <v>3289</v>
      </c>
      <c r="C546" s="7">
        <v>1020</v>
      </c>
      <c r="D546" s="8" t="s">
        <v>3290</v>
      </c>
      <c r="E546" s="8" t="s">
        <v>3291</v>
      </c>
      <c r="F546" s="8" t="s">
        <v>3292</v>
      </c>
      <c r="G546" s="6" t="s">
        <v>38</v>
      </c>
      <c r="H546" s="6" t="s">
        <v>39</v>
      </c>
      <c r="I546" s="8" t="s">
        <v>40</v>
      </c>
      <c r="J546" s="9">
        <v>1</v>
      </c>
      <c r="K546" s="9">
        <v>181</v>
      </c>
      <c r="L546" s="9">
        <v>2024</v>
      </c>
      <c r="M546" s="8" t="s">
        <v>3293</v>
      </c>
      <c r="N546" s="8" t="s">
        <v>42</v>
      </c>
      <c r="O546" s="8" t="s">
        <v>89</v>
      </c>
      <c r="P546" s="6" t="s">
        <v>44</v>
      </c>
      <c r="Q546" s="8" t="s">
        <v>45</v>
      </c>
      <c r="R546" s="10" t="s">
        <v>3294</v>
      </c>
      <c r="S546" s="11"/>
      <c r="T546" s="6"/>
      <c r="U546" s="24" t="str">
        <f>HYPERLINK("https://media.infra-m.ru/2136/2136024/cover/2136024.jpg", "Обложка")</f>
        <v>Обложка</v>
      </c>
      <c r="V546" s="24" t="str">
        <f>HYPERLINK("https://znanium.ru/catalog/product/2136024", "Ознакомиться")</f>
        <v>Ознакомиться</v>
      </c>
      <c r="W546" s="8" t="s">
        <v>2005</v>
      </c>
      <c r="X546" s="6"/>
      <c r="Y546" s="6"/>
      <c r="Z546" s="6"/>
      <c r="AA546" s="6" t="s">
        <v>57</v>
      </c>
      <c r="AB546" s="8"/>
    </row>
    <row r="547" spans="1:28" s="4" customFormat="1" ht="42" customHeight="1">
      <c r="A547" s="5">
        <v>0</v>
      </c>
      <c r="B547" s="6" t="s">
        <v>3295</v>
      </c>
      <c r="C547" s="7">
        <v>1084.8</v>
      </c>
      <c r="D547" s="8" t="s">
        <v>3296</v>
      </c>
      <c r="E547" s="8" t="s">
        <v>3297</v>
      </c>
      <c r="F547" s="8" t="s">
        <v>3298</v>
      </c>
      <c r="G547" s="6" t="s">
        <v>96</v>
      </c>
      <c r="H547" s="6" t="s">
        <v>39</v>
      </c>
      <c r="I547" s="8" t="s">
        <v>40</v>
      </c>
      <c r="J547" s="9">
        <v>1</v>
      </c>
      <c r="K547" s="9">
        <v>190</v>
      </c>
      <c r="L547" s="9">
        <v>2024</v>
      </c>
      <c r="M547" s="8" t="s">
        <v>3299</v>
      </c>
      <c r="N547" s="8" t="s">
        <v>144</v>
      </c>
      <c r="O547" s="8" t="s">
        <v>145</v>
      </c>
      <c r="P547" s="6" t="s">
        <v>44</v>
      </c>
      <c r="Q547" s="8" t="s">
        <v>45</v>
      </c>
      <c r="R547" s="10" t="s">
        <v>3300</v>
      </c>
      <c r="S547" s="11"/>
      <c r="T547" s="6"/>
      <c r="U547" s="24" t="str">
        <f>HYPERLINK("https://media.infra-m.ru/2115/2115275/cover/2115275.jpg", "Обложка")</f>
        <v>Обложка</v>
      </c>
      <c r="V547" s="24" t="str">
        <f>HYPERLINK("https://znanium.ru/catalog/product/1831185", "Ознакомиться")</f>
        <v>Ознакомиться</v>
      </c>
      <c r="W547" s="8" t="s">
        <v>702</v>
      </c>
      <c r="X547" s="6"/>
      <c r="Y547" s="6"/>
      <c r="Z547" s="6"/>
      <c r="AA547" s="6" t="s">
        <v>138</v>
      </c>
      <c r="AB547" s="8"/>
    </row>
    <row r="548" spans="1:28" s="4" customFormat="1" ht="42" customHeight="1">
      <c r="A548" s="5">
        <v>0</v>
      </c>
      <c r="B548" s="6" t="s">
        <v>3301</v>
      </c>
      <c r="C548" s="7">
        <v>1428</v>
      </c>
      <c r="D548" s="8" t="s">
        <v>3302</v>
      </c>
      <c r="E548" s="8" t="s">
        <v>3303</v>
      </c>
      <c r="F548" s="8" t="s">
        <v>727</v>
      </c>
      <c r="G548" s="6" t="s">
        <v>96</v>
      </c>
      <c r="H548" s="6" t="s">
        <v>39</v>
      </c>
      <c r="I548" s="8" t="s">
        <v>40</v>
      </c>
      <c r="J548" s="9">
        <v>1</v>
      </c>
      <c r="K548" s="9">
        <v>230</v>
      </c>
      <c r="L548" s="9">
        <v>2025</v>
      </c>
      <c r="M548" s="8" t="s">
        <v>3304</v>
      </c>
      <c r="N548" s="8" t="s">
        <v>144</v>
      </c>
      <c r="O548" s="8" t="s">
        <v>145</v>
      </c>
      <c r="P548" s="6" t="s">
        <v>44</v>
      </c>
      <c r="Q548" s="8" t="s">
        <v>1354</v>
      </c>
      <c r="R548" s="10" t="s">
        <v>2302</v>
      </c>
      <c r="S548" s="11"/>
      <c r="T548" s="6"/>
      <c r="U548" s="24" t="str">
        <f>HYPERLINK("https://media.infra-m.ru/2174/2174707/cover/2174707.jpg", "Обложка")</f>
        <v>Обложка</v>
      </c>
      <c r="V548" s="24" t="str">
        <f>HYPERLINK("https://znanium.ru/catalog/product/2174707", "Ознакомиться")</f>
        <v>Ознакомиться</v>
      </c>
      <c r="W548" s="8" t="s">
        <v>730</v>
      </c>
      <c r="X548" s="6" t="s">
        <v>1077</v>
      </c>
      <c r="Y548" s="6"/>
      <c r="Z548" s="6"/>
      <c r="AA548" s="6" t="s">
        <v>360</v>
      </c>
      <c r="AB548" s="8"/>
    </row>
    <row r="549" spans="1:28" s="4" customFormat="1" ht="42" customHeight="1">
      <c r="A549" s="5">
        <v>0</v>
      </c>
      <c r="B549" s="6" t="s">
        <v>3305</v>
      </c>
      <c r="C549" s="7">
        <v>1056</v>
      </c>
      <c r="D549" s="8" t="s">
        <v>3306</v>
      </c>
      <c r="E549" s="8" t="s">
        <v>3307</v>
      </c>
      <c r="F549" s="8" t="s">
        <v>3308</v>
      </c>
      <c r="G549" s="6" t="s">
        <v>38</v>
      </c>
      <c r="H549" s="6" t="s">
        <v>39</v>
      </c>
      <c r="I549" s="8" t="s">
        <v>40</v>
      </c>
      <c r="J549" s="9">
        <v>1</v>
      </c>
      <c r="K549" s="9">
        <v>188</v>
      </c>
      <c r="L549" s="9">
        <v>2024</v>
      </c>
      <c r="M549" s="8" t="s">
        <v>3309</v>
      </c>
      <c r="N549" s="8" t="s">
        <v>144</v>
      </c>
      <c r="O549" s="8" t="s">
        <v>145</v>
      </c>
      <c r="P549" s="6" t="s">
        <v>44</v>
      </c>
      <c r="Q549" s="8" t="s">
        <v>45</v>
      </c>
      <c r="R549" s="10" t="s">
        <v>3310</v>
      </c>
      <c r="S549" s="11"/>
      <c r="T549" s="6"/>
      <c r="U549" s="24" t="str">
        <f>HYPERLINK("https://media.infra-m.ru/2136/2136025/cover/2136025.jpg", "Обложка")</f>
        <v>Обложка</v>
      </c>
      <c r="V549" s="24" t="str">
        <f>HYPERLINK("https://znanium.ru/catalog/product/2136025", "Ознакомиться")</f>
        <v>Ознакомиться</v>
      </c>
      <c r="W549" s="8" t="s">
        <v>3311</v>
      </c>
      <c r="X549" s="6"/>
      <c r="Y549" s="6"/>
      <c r="Z549" s="6"/>
      <c r="AA549" s="6" t="s">
        <v>183</v>
      </c>
      <c r="AB549" s="8"/>
    </row>
    <row r="550" spans="1:28" s="4" customFormat="1" ht="51.95" customHeight="1">
      <c r="A550" s="5">
        <v>0</v>
      </c>
      <c r="B550" s="6" t="s">
        <v>3312</v>
      </c>
      <c r="C550" s="13">
        <v>852</v>
      </c>
      <c r="D550" s="8" t="s">
        <v>3313</v>
      </c>
      <c r="E550" s="8" t="s">
        <v>3314</v>
      </c>
      <c r="F550" s="8" t="s">
        <v>3315</v>
      </c>
      <c r="G550" s="6" t="s">
        <v>38</v>
      </c>
      <c r="H550" s="6" t="s">
        <v>39</v>
      </c>
      <c r="I550" s="8"/>
      <c r="J550" s="9">
        <v>1</v>
      </c>
      <c r="K550" s="9">
        <v>112</v>
      </c>
      <c r="L550" s="9">
        <v>2026</v>
      </c>
      <c r="M550" s="8" t="s">
        <v>3316</v>
      </c>
      <c r="N550" s="8" t="s">
        <v>42</v>
      </c>
      <c r="O550" s="8" t="s">
        <v>89</v>
      </c>
      <c r="P550" s="6" t="s">
        <v>44</v>
      </c>
      <c r="Q550" s="8" t="s">
        <v>45</v>
      </c>
      <c r="R550" s="10" t="s">
        <v>1160</v>
      </c>
      <c r="S550" s="11"/>
      <c r="T550" s="6"/>
      <c r="U550" s="24" t="str">
        <f>HYPERLINK("https://media.infra-m.ru/2213/2213186/cover/2213186.jpg", "Обложка")</f>
        <v>Обложка</v>
      </c>
      <c r="V550" s="24" t="str">
        <f>HYPERLINK("https://znanium.ru/catalog/product/2213186", "Ознакомиться")</f>
        <v>Ознакомиться</v>
      </c>
      <c r="W550" s="8" t="s">
        <v>976</v>
      </c>
      <c r="X550" s="6"/>
      <c r="Y550" s="6"/>
      <c r="Z550" s="6"/>
      <c r="AA550" s="6" t="s">
        <v>242</v>
      </c>
      <c r="AB550" s="8"/>
    </row>
    <row r="551" spans="1:28" s="4" customFormat="1" ht="42" customHeight="1">
      <c r="A551" s="5">
        <v>0</v>
      </c>
      <c r="B551" s="6" t="s">
        <v>3317</v>
      </c>
      <c r="C551" s="13">
        <v>708</v>
      </c>
      <c r="D551" s="8" t="s">
        <v>3318</v>
      </c>
      <c r="E551" s="8" t="s">
        <v>3319</v>
      </c>
      <c r="F551" s="8" t="s">
        <v>3320</v>
      </c>
      <c r="G551" s="6" t="s">
        <v>38</v>
      </c>
      <c r="H551" s="6" t="s">
        <v>39</v>
      </c>
      <c r="I551" s="8" t="s">
        <v>982</v>
      </c>
      <c r="J551" s="9">
        <v>1</v>
      </c>
      <c r="K551" s="9">
        <v>127</v>
      </c>
      <c r="L551" s="9">
        <v>2024</v>
      </c>
      <c r="M551" s="8" t="s">
        <v>3321</v>
      </c>
      <c r="N551" s="8" t="s">
        <v>42</v>
      </c>
      <c r="O551" s="8" t="s">
        <v>43</v>
      </c>
      <c r="P551" s="6" t="s">
        <v>44</v>
      </c>
      <c r="Q551" s="8" t="s">
        <v>45</v>
      </c>
      <c r="R551" s="10" t="s">
        <v>3322</v>
      </c>
      <c r="S551" s="11"/>
      <c r="T551" s="6"/>
      <c r="U551" s="24" t="str">
        <f>HYPERLINK("https://media.infra-m.ru/2080/2080951/cover/2080951.jpg", "Обложка")</f>
        <v>Обложка</v>
      </c>
      <c r="V551" s="24" t="str">
        <f>HYPERLINK("https://znanium.ru/catalog/product/2080951", "Ознакомиться")</f>
        <v>Ознакомиться</v>
      </c>
      <c r="W551" s="8" t="s">
        <v>147</v>
      </c>
      <c r="X551" s="6"/>
      <c r="Y551" s="6"/>
      <c r="Z551" s="6"/>
      <c r="AA551" s="6" t="s">
        <v>57</v>
      </c>
      <c r="AB551" s="8"/>
    </row>
    <row r="552" spans="1:28" s="4" customFormat="1" ht="51.95" customHeight="1">
      <c r="A552" s="5">
        <v>0</v>
      </c>
      <c r="B552" s="6" t="s">
        <v>3323</v>
      </c>
      <c r="C552" s="7">
        <v>1188</v>
      </c>
      <c r="D552" s="8" t="s">
        <v>3324</v>
      </c>
      <c r="E552" s="8" t="s">
        <v>3325</v>
      </c>
      <c r="F552" s="8" t="s">
        <v>297</v>
      </c>
      <c r="G552" s="6" t="s">
        <v>38</v>
      </c>
      <c r="H552" s="6" t="s">
        <v>39</v>
      </c>
      <c r="I552" s="8" t="s">
        <v>40</v>
      </c>
      <c r="J552" s="9">
        <v>1</v>
      </c>
      <c r="K552" s="9">
        <v>195</v>
      </c>
      <c r="L552" s="9">
        <v>2025</v>
      </c>
      <c r="M552" s="8" t="s">
        <v>3326</v>
      </c>
      <c r="N552" s="8" t="s">
        <v>42</v>
      </c>
      <c r="O552" s="8" t="s">
        <v>43</v>
      </c>
      <c r="P552" s="6" t="s">
        <v>44</v>
      </c>
      <c r="Q552" s="8" t="s">
        <v>45</v>
      </c>
      <c r="R552" s="10" t="s">
        <v>3327</v>
      </c>
      <c r="S552" s="11"/>
      <c r="T552" s="6"/>
      <c r="U552" s="24" t="str">
        <f>HYPERLINK("https://media.infra-m.ru/2175/2175578/cover/2175578.jpg", "Обложка")</f>
        <v>Обложка</v>
      </c>
      <c r="V552" s="24" t="str">
        <f>HYPERLINK("https://znanium.ru/catalog/product/2175578", "Ознакомиться")</f>
        <v>Ознакомиться</v>
      </c>
      <c r="W552" s="8" t="s">
        <v>241</v>
      </c>
      <c r="X552" s="6"/>
      <c r="Y552" s="6"/>
      <c r="Z552" s="6"/>
      <c r="AA552" s="6" t="s">
        <v>227</v>
      </c>
      <c r="AB552" s="8"/>
    </row>
    <row r="553" spans="1:28" s="4" customFormat="1" ht="42" customHeight="1">
      <c r="A553" s="5">
        <v>0</v>
      </c>
      <c r="B553" s="6" t="s">
        <v>3328</v>
      </c>
      <c r="C553" s="13">
        <v>616.79999999999995</v>
      </c>
      <c r="D553" s="8" t="s">
        <v>3329</v>
      </c>
      <c r="E553" s="8" t="s">
        <v>3330</v>
      </c>
      <c r="F553" s="8" t="s">
        <v>3331</v>
      </c>
      <c r="G553" s="6" t="s">
        <v>38</v>
      </c>
      <c r="H553" s="6" t="s">
        <v>39</v>
      </c>
      <c r="I553" s="8" t="s">
        <v>40</v>
      </c>
      <c r="J553" s="9">
        <v>1</v>
      </c>
      <c r="K553" s="9">
        <v>106</v>
      </c>
      <c r="L553" s="9">
        <v>2024</v>
      </c>
      <c r="M553" s="8" t="s">
        <v>3332</v>
      </c>
      <c r="N553" s="8" t="s">
        <v>42</v>
      </c>
      <c r="O553" s="8" t="s">
        <v>43</v>
      </c>
      <c r="P553" s="6" t="s">
        <v>44</v>
      </c>
      <c r="Q553" s="8" t="s">
        <v>45</v>
      </c>
      <c r="R553" s="10" t="s">
        <v>3333</v>
      </c>
      <c r="S553" s="11"/>
      <c r="T553" s="6"/>
      <c r="U553" s="24" t="str">
        <f>HYPERLINK("https://media.infra-m.ru/2151/2151399/cover/2151399.jpg", "Обложка")</f>
        <v>Обложка</v>
      </c>
      <c r="V553" s="24" t="str">
        <f>HYPERLINK("https://znanium.ru/catalog/product/2151399", "Ознакомиться")</f>
        <v>Ознакомиться</v>
      </c>
      <c r="W553" s="8" t="s">
        <v>3172</v>
      </c>
      <c r="X553" s="6"/>
      <c r="Y553" s="6"/>
      <c r="Z553" s="6"/>
      <c r="AA553" s="6" t="s">
        <v>213</v>
      </c>
      <c r="AB553" s="8"/>
    </row>
    <row r="554" spans="1:28" s="4" customFormat="1" ht="42" customHeight="1">
      <c r="A554" s="5">
        <v>0</v>
      </c>
      <c r="B554" s="6" t="s">
        <v>3334</v>
      </c>
      <c r="C554" s="7">
        <v>1264.8</v>
      </c>
      <c r="D554" s="8" t="s">
        <v>3335</v>
      </c>
      <c r="E554" s="8" t="s">
        <v>3336</v>
      </c>
      <c r="F554" s="8" t="s">
        <v>3337</v>
      </c>
      <c r="G554" s="6" t="s">
        <v>62</v>
      </c>
      <c r="H554" s="6" t="s">
        <v>39</v>
      </c>
      <c r="I554" s="8" t="s">
        <v>421</v>
      </c>
      <c r="J554" s="9">
        <v>1</v>
      </c>
      <c r="K554" s="9">
        <v>196</v>
      </c>
      <c r="L554" s="9">
        <v>2025</v>
      </c>
      <c r="M554" s="8" t="s">
        <v>3338</v>
      </c>
      <c r="N554" s="8" t="s">
        <v>119</v>
      </c>
      <c r="O554" s="8" t="s">
        <v>381</v>
      </c>
      <c r="P554" s="6" t="s">
        <v>425</v>
      </c>
      <c r="Q554" s="8" t="s">
        <v>180</v>
      </c>
      <c r="R554" s="10" t="s">
        <v>3339</v>
      </c>
      <c r="S554" s="11"/>
      <c r="T554" s="6"/>
      <c r="U554" s="24" t="str">
        <f>HYPERLINK("https://media.infra-m.ru/2217/2217355/cover/2217355.jpg", "Обложка")</f>
        <v>Обложка</v>
      </c>
      <c r="V554" s="24" t="str">
        <f>HYPERLINK("https://znanium.ru/catalog/product/2212252", "Ознакомиться")</f>
        <v>Ознакомиться</v>
      </c>
      <c r="W554" s="8" t="s">
        <v>1043</v>
      </c>
      <c r="X554" s="6"/>
      <c r="Y554" s="6"/>
      <c r="Z554" s="6"/>
      <c r="AA554" s="6" t="s">
        <v>360</v>
      </c>
      <c r="AB554" s="8"/>
    </row>
    <row r="555" spans="1:28" s="4" customFormat="1" ht="44.1" customHeight="1">
      <c r="A555" s="5">
        <v>0</v>
      </c>
      <c r="B555" s="6" t="s">
        <v>3340</v>
      </c>
      <c r="C555" s="7">
        <v>1188</v>
      </c>
      <c r="D555" s="8" t="s">
        <v>3341</v>
      </c>
      <c r="E555" s="8" t="s">
        <v>3342</v>
      </c>
      <c r="F555" s="8" t="s">
        <v>3343</v>
      </c>
      <c r="G555" s="6" t="s">
        <v>96</v>
      </c>
      <c r="H555" s="6" t="s">
        <v>39</v>
      </c>
      <c r="I555" s="8" t="s">
        <v>40</v>
      </c>
      <c r="J555" s="9">
        <v>1</v>
      </c>
      <c r="K555" s="9">
        <v>189</v>
      </c>
      <c r="L555" s="9">
        <v>2025</v>
      </c>
      <c r="M555" s="8" t="s">
        <v>3344</v>
      </c>
      <c r="N555" s="8" t="s">
        <v>42</v>
      </c>
      <c r="O555" s="8" t="s">
        <v>72</v>
      </c>
      <c r="P555" s="6" t="s">
        <v>44</v>
      </c>
      <c r="Q555" s="8" t="s">
        <v>45</v>
      </c>
      <c r="R555" s="10" t="s">
        <v>3345</v>
      </c>
      <c r="S555" s="11"/>
      <c r="T555" s="6"/>
      <c r="U555" s="24" t="str">
        <f>HYPERLINK("https://media.infra-m.ru/2163/2163264/cover/2163264.jpg", "Обложка")</f>
        <v>Обложка</v>
      </c>
      <c r="V555" s="24" t="str">
        <f>HYPERLINK("https://znanium.ru/catalog/product/2163264", "Ознакомиться")</f>
        <v>Ознакомиться</v>
      </c>
      <c r="W555" s="8" t="s">
        <v>1905</v>
      </c>
      <c r="X555" s="6" t="s">
        <v>3346</v>
      </c>
      <c r="Y555" s="6"/>
      <c r="Z555" s="6"/>
      <c r="AA555" s="6" t="s">
        <v>360</v>
      </c>
      <c r="AB555" s="8"/>
    </row>
    <row r="556" spans="1:28" s="4" customFormat="1" ht="42" customHeight="1">
      <c r="A556" s="5">
        <v>0</v>
      </c>
      <c r="B556" s="6" t="s">
        <v>3347</v>
      </c>
      <c r="C556" s="7">
        <v>2700</v>
      </c>
      <c r="D556" s="8" t="s">
        <v>3348</v>
      </c>
      <c r="E556" s="8" t="s">
        <v>3349</v>
      </c>
      <c r="F556" s="8" t="s">
        <v>3350</v>
      </c>
      <c r="G556" s="6" t="s">
        <v>1499</v>
      </c>
      <c r="H556" s="6" t="s">
        <v>1083</v>
      </c>
      <c r="I556" s="8"/>
      <c r="J556" s="9">
        <v>1</v>
      </c>
      <c r="K556" s="9">
        <v>528</v>
      </c>
      <c r="L556" s="9">
        <v>2019</v>
      </c>
      <c r="M556" s="8" t="s">
        <v>3351</v>
      </c>
      <c r="N556" s="8" t="s">
        <v>119</v>
      </c>
      <c r="O556" s="8" t="s">
        <v>381</v>
      </c>
      <c r="P556" s="6" t="s">
        <v>1083</v>
      </c>
      <c r="Q556" s="8"/>
      <c r="R556" s="10"/>
      <c r="S556" s="11"/>
      <c r="T556" s="6"/>
      <c r="U556" s="24" t="str">
        <f>HYPERLINK("https://media.infra-m.ru/1036/1036806/cover/1036806.jpg", "Обложка")</f>
        <v>Обложка</v>
      </c>
      <c r="V556" s="12"/>
      <c r="W556" s="8" t="s">
        <v>760</v>
      </c>
      <c r="X556" s="6"/>
      <c r="Y556" s="6"/>
      <c r="Z556" s="6"/>
      <c r="AA556" s="6" t="s">
        <v>57</v>
      </c>
      <c r="AB556" s="8"/>
    </row>
    <row r="557" spans="1:28" s="4" customFormat="1" ht="44.1" customHeight="1">
      <c r="A557" s="5">
        <v>0</v>
      </c>
      <c r="B557" s="6" t="s">
        <v>3352</v>
      </c>
      <c r="C557" s="7">
        <v>2244</v>
      </c>
      <c r="D557" s="8" t="s">
        <v>3353</v>
      </c>
      <c r="E557" s="8" t="s">
        <v>3354</v>
      </c>
      <c r="F557" s="8" t="s">
        <v>3355</v>
      </c>
      <c r="G557" s="6" t="s">
        <v>62</v>
      </c>
      <c r="H557" s="6" t="s">
        <v>39</v>
      </c>
      <c r="I557" s="8" t="s">
        <v>1529</v>
      </c>
      <c r="J557" s="9">
        <v>1</v>
      </c>
      <c r="K557" s="9">
        <v>358</v>
      </c>
      <c r="L557" s="9">
        <v>2025</v>
      </c>
      <c r="M557" s="8" t="s">
        <v>3356</v>
      </c>
      <c r="N557" s="8" t="s">
        <v>42</v>
      </c>
      <c r="O557" s="8" t="s">
        <v>43</v>
      </c>
      <c r="P557" s="6" t="s">
        <v>44</v>
      </c>
      <c r="Q557" s="8" t="s">
        <v>45</v>
      </c>
      <c r="R557" s="10" t="s">
        <v>1911</v>
      </c>
      <c r="S557" s="11"/>
      <c r="T557" s="6"/>
      <c r="U557" s="24" t="str">
        <f>HYPERLINK("https://media.infra-m.ru/2199/2199861/cover/2199861.jpg", "Обложка")</f>
        <v>Обложка</v>
      </c>
      <c r="V557" s="12"/>
      <c r="W557" s="8" t="s">
        <v>156</v>
      </c>
      <c r="X557" s="6"/>
      <c r="Y557" s="6"/>
      <c r="Z557" s="6"/>
      <c r="AA557" s="6" t="s">
        <v>138</v>
      </c>
      <c r="AB557" s="8"/>
    </row>
    <row r="558" spans="1:28" s="4" customFormat="1" ht="42" customHeight="1">
      <c r="A558" s="5">
        <v>0</v>
      </c>
      <c r="B558" s="6" t="s">
        <v>3357</v>
      </c>
      <c r="C558" s="7">
        <v>2628</v>
      </c>
      <c r="D558" s="8" t="s">
        <v>3358</v>
      </c>
      <c r="E558" s="8" t="s">
        <v>3359</v>
      </c>
      <c r="F558" s="8" t="s">
        <v>2306</v>
      </c>
      <c r="G558" s="6" t="s">
        <v>96</v>
      </c>
      <c r="H558" s="6" t="s">
        <v>39</v>
      </c>
      <c r="I558" s="8" t="s">
        <v>40</v>
      </c>
      <c r="J558" s="9">
        <v>1</v>
      </c>
      <c r="K558" s="9">
        <v>398</v>
      </c>
      <c r="L558" s="9">
        <v>2025</v>
      </c>
      <c r="M558" s="8" t="s">
        <v>3360</v>
      </c>
      <c r="N558" s="8" t="s">
        <v>42</v>
      </c>
      <c r="O558" s="8" t="s">
        <v>43</v>
      </c>
      <c r="P558" s="6" t="s">
        <v>44</v>
      </c>
      <c r="Q558" s="8" t="s">
        <v>45</v>
      </c>
      <c r="R558" s="10" t="s">
        <v>3361</v>
      </c>
      <c r="S558" s="11"/>
      <c r="T558" s="6"/>
      <c r="U558" s="24" t="str">
        <f>HYPERLINK("https://media.infra-m.ru/2188/2188424/cover/2188424.jpg", "Обложка")</f>
        <v>Обложка</v>
      </c>
      <c r="V558" s="24" t="str">
        <f>HYPERLINK("https://znanium.ru/catalog/product/2188424", "Ознакомиться")</f>
        <v>Ознакомиться</v>
      </c>
      <c r="W558" s="8" t="s">
        <v>1043</v>
      </c>
      <c r="X558" s="6" t="s">
        <v>350</v>
      </c>
      <c r="Y558" s="6"/>
      <c r="Z558" s="6"/>
      <c r="AA558" s="6" t="s">
        <v>360</v>
      </c>
      <c r="AB558" s="8" t="s">
        <v>559</v>
      </c>
    </row>
    <row r="559" spans="1:28" s="4" customFormat="1" ht="51.95" customHeight="1">
      <c r="A559" s="5">
        <v>0</v>
      </c>
      <c r="B559" s="6" t="s">
        <v>3362</v>
      </c>
      <c r="C559" s="13">
        <v>960</v>
      </c>
      <c r="D559" s="8" t="s">
        <v>3363</v>
      </c>
      <c r="E559" s="8" t="s">
        <v>3364</v>
      </c>
      <c r="F559" s="8" t="s">
        <v>3365</v>
      </c>
      <c r="G559" s="6" t="s">
        <v>38</v>
      </c>
      <c r="H559" s="6" t="s">
        <v>39</v>
      </c>
      <c r="I559" s="8" t="s">
        <v>1529</v>
      </c>
      <c r="J559" s="9">
        <v>1</v>
      </c>
      <c r="K559" s="9">
        <v>136</v>
      </c>
      <c r="L559" s="9">
        <v>2025</v>
      </c>
      <c r="M559" s="8" t="s">
        <v>3366</v>
      </c>
      <c r="N559" s="8" t="s">
        <v>42</v>
      </c>
      <c r="O559" s="8" t="s">
        <v>1960</v>
      </c>
      <c r="P559" s="6" t="s">
        <v>44</v>
      </c>
      <c r="Q559" s="8" t="s">
        <v>45</v>
      </c>
      <c r="R559" s="10" t="s">
        <v>3367</v>
      </c>
      <c r="S559" s="11"/>
      <c r="T559" s="6"/>
      <c r="U559" s="24" t="str">
        <f>HYPERLINK("https://media.infra-m.ru/2170/2170849/cover/2170849.jpg", "Обложка")</f>
        <v>Обложка</v>
      </c>
      <c r="V559" s="12"/>
      <c r="W559" s="8" t="s">
        <v>1532</v>
      </c>
      <c r="X559" s="6"/>
      <c r="Y559" s="6"/>
      <c r="Z559" s="6"/>
      <c r="AA559" s="6" t="s">
        <v>138</v>
      </c>
      <c r="AB559" s="8"/>
    </row>
    <row r="560" spans="1:28" s="4" customFormat="1" ht="51.95" customHeight="1">
      <c r="A560" s="5">
        <v>0</v>
      </c>
      <c r="B560" s="6" t="s">
        <v>3368</v>
      </c>
      <c r="C560" s="7">
        <v>1344</v>
      </c>
      <c r="D560" s="8" t="s">
        <v>3369</v>
      </c>
      <c r="E560" s="8" t="s">
        <v>3370</v>
      </c>
      <c r="F560" s="8" t="s">
        <v>3371</v>
      </c>
      <c r="G560" s="6" t="s">
        <v>38</v>
      </c>
      <c r="H560" s="6" t="s">
        <v>39</v>
      </c>
      <c r="I560" s="8" t="s">
        <v>40</v>
      </c>
      <c r="J560" s="9">
        <v>1</v>
      </c>
      <c r="K560" s="9">
        <v>223</v>
      </c>
      <c r="L560" s="9">
        <v>2024</v>
      </c>
      <c r="M560" s="8" t="s">
        <v>3372</v>
      </c>
      <c r="N560" s="8" t="s">
        <v>42</v>
      </c>
      <c r="O560" s="8" t="s">
        <v>908</v>
      </c>
      <c r="P560" s="6" t="s">
        <v>44</v>
      </c>
      <c r="Q560" s="8" t="s">
        <v>45</v>
      </c>
      <c r="R560" s="10" t="s">
        <v>3373</v>
      </c>
      <c r="S560" s="11"/>
      <c r="T560" s="6"/>
      <c r="U560" s="24" t="str">
        <f>HYPERLINK("https://media.infra-m.ru/2136/2136026/cover/2136026.jpg", "Обложка")</f>
        <v>Обложка</v>
      </c>
      <c r="V560" s="24" t="str">
        <f>HYPERLINK("https://znanium.ru/catalog/product/2136026", "Ознакомиться")</f>
        <v>Ознакомиться</v>
      </c>
      <c r="W560" s="8" t="s">
        <v>1022</v>
      </c>
      <c r="X560" s="6"/>
      <c r="Y560" s="6"/>
      <c r="Z560" s="6"/>
      <c r="AA560" s="6" t="s">
        <v>470</v>
      </c>
      <c r="AB560" s="8"/>
    </row>
    <row r="561" spans="1:28" s="4" customFormat="1" ht="44.1" customHeight="1">
      <c r="A561" s="5">
        <v>0</v>
      </c>
      <c r="B561" s="6" t="s">
        <v>3374</v>
      </c>
      <c r="C561" s="7">
        <v>1300.8</v>
      </c>
      <c r="D561" s="8" t="s">
        <v>3375</v>
      </c>
      <c r="E561" s="8" t="s">
        <v>3376</v>
      </c>
      <c r="F561" s="8" t="s">
        <v>2568</v>
      </c>
      <c r="G561" s="6" t="s">
        <v>38</v>
      </c>
      <c r="H561" s="6" t="s">
        <v>118</v>
      </c>
      <c r="I561" s="8" t="s">
        <v>40</v>
      </c>
      <c r="J561" s="9">
        <v>1</v>
      </c>
      <c r="K561" s="9">
        <v>202</v>
      </c>
      <c r="L561" s="9">
        <v>2026</v>
      </c>
      <c r="M561" s="8" t="s">
        <v>3377</v>
      </c>
      <c r="N561" s="8" t="s">
        <v>42</v>
      </c>
      <c r="O561" s="8" t="s">
        <v>43</v>
      </c>
      <c r="P561" s="6" t="s">
        <v>44</v>
      </c>
      <c r="Q561" s="8" t="s">
        <v>45</v>
      </c>
      <c r="R561" s="10" t="s">
        <v>3378</v>
      </c>
      <c r="S561" s="11"/>
      <c r="T561" s="6"/>
      <c r="U561" s="24" t="str">
        <f>HYPERLINK("https://media.infra-m.ru/2143/2143173/cover/2143173.jpg", "Обложка")</f>
        <v>Обложка</v>
      </c>
      <c r="V561" s="24" t="str">
        <f>HYPERLINK("https://znanium.ru/catalog/product/1902650", "Ознакомиться")</f>
        <v>Ознакомиться</v>
      </c>
      <c r="W561" s="8" t="s">
        <v>2571</v>
      </c>
      <c r="X561" s="6"/>
      <c r="Y561" s="6"/>
      <c r="Z561" s="6"/>
      <c r="AA561" s="6" t="s">
        <v>183</v>
      </c>
      <c r="AB561" s="8"/>
    </row>
    <row r="562" spans="1:28" s="4" customFormat="1" ht="42" customHeight="1">
      <c r="A562" s="5">
        <v>0</v>
      </c>
      <c r="B562" s="6" t="s">
        <v>3379</v>
      </c>
      <c r="C562" s="7">
        <v>1416</v>
      </c>
      <c r="D562" s="8" t="s">
        <v>3380</v>
      </c>
      <c r="E562" s="8" t="s">
        <v>3381</v>
      </c>
      <c r="F562" s="8" t="s">
        <v>3382</v>
      </c>
      <c r="G562" s="6" t="s">
        <v>96</v>
      </c>
      <c r="H562" s="6" t="s">
        <v>39</v>
      </c>
      <c r="I562" s="8" t="s">
        <v>40</v>
      </c>
      <c r="J562" s="9">
        <v>1</v>
      </c>
      <c r="K562" s="9">
        <v>203</v>
      </c>
      <c r="L562" s="9">
        <v>2023</v>
      </c>
      <c r="M562" s="8" t="s">
        <v>3383</v>
      </c>
      <c r="N562" s="8" t="s">
        <v>42</v>
      </c>
      <c r="O562" s="8" t="s">
        <v>72</v>
      </c>
      <c r="P562" s="6" t="s">
        <v>44</v>
      </c>
      <c r="Q562" s="8" t="s">
        <v>45</v>
      </c>
      <c r="R562" s="10" t="s">
        <v>1027</v>
      </c>
      <c r="S562" s="11"/>
      <c r="T562" s="6"/>
      <c r="U562" s="24" t="str">
        <f>HYPERLINK("https://media.infra-m.ru/1914/1914701/cover/1914701.jpg", "Обложка")</f>
        <v>Обложка</v>
      </c>
      <c r="V562" s="24" t="str">
        <f>HYPERLINK("https://znanium.ru/catalog/product/1914701", "Ознакомиться")</f>
        <v>Ознакомиться</v>
      </c>
      <c r="W562" s="8" t="s">
        <v>760</v>
      </c>
      <c r="X562" s="6"/>
      <c r="Y562" s="6"/>
      <c r="Z562" s="6"/>
      <c r="AA562" s="6" t="s">
        <v>91</v>
      </c>
      <c r="AB562" s="8"/>
    </row>
    <row r="563" spans="1:28" s="4" customFormat="1" ht="51.95" customHeight="1">
      <c r="A563" s="5">
        <v>0</v>
      </c>
      <c r="B563" s="6" t="s">
        <v>3384</v>
      </c>
      <c r="C563" s="7">
        <v>2136</v>
      </c>
      <c r="D563" s="8" t="s">
        <v>3385</v>
      </c>
      <c r="E563" s="8" t="s">
        <v>3386</v>
      </c>
      <c r="F563" s="8" t="s">
        <v>3387</v>
      </c>
      <c r="G563" s="6" t="s">
        <v>62</v>
      </c>
      <c r="H563" s="6" t="s">
        <v>39</v>
      </c>
      <c r="I563" s="8" t="s">
        <v>421</v>
      </c>
      <c r="J563" s="9">
        <v>1</v>
      </c>
      <c r="K563" s="9">
        <v>323</v>
      </c>
      <c r="L563" s="9">
        <v>2026</v>
      </c>
      <c r="M563" s="8" t="s">
        <v>3388</v>
      </c>
      <c r="N563" s="8" t="s">
        <v>42</v>
      </c>
      <c r="O563" s="8" t="s">
        <v>43</v>
      </c>
      <c r="P563" s="6" t="s">
        <v>425</v>
      </c>
      <c r="Q563" s="8" t="s">
        <v>180</v>
      </c>
      <c r="R563" s="10" t="s">
        <v>3389</v>
      </c>
      <c r="S563" s="11"/>
      <c r="T563" s="6"/>
      <c r="U563" s="24" t="str">
        <f>HYPERLINK("https://media.infra-m.ru/2227/2227947/cover/2227947.jpg", "Обложка")</f>
        <v>Обложка</v>
      </c>
      <c r="V563" s="24" t="str">
        <f>HYPERLINK("https://znanium.ru/catalog/product/2227947", "Ознакомиться")</f>
        <v>Ознакомиться</v>
      </c>
      <c r="W563" s="8" t="s">
        <v>2389</v>
      </c>
      <c r="X563" s="6"/>
      <c r="Y563" s="6" t="s">
        <v>30</v>
      </c>
      <c r="Z563" s="6"/>
      <c r="AA563" s="6" t="s">
        <v>360</v>
      </c>
      <c r="AB563" s="8"/>
    </row>
    <row r="564" spans="1:28" s="4" customFormat="1" ht="42" customHeight="1">
      <c r="A564" s="5">
        <v>0</v>
      </c>
      <c r="B564" s="6" t="s">
        <v>3390</v>
      </c>
      <c r="C564" s="7">
        <v>1368</v>
      </c>
      <c r="D564" s="8" t="s">
        <v>3391</v>
      </c>
      <c r="E564" s="8" t="s">
        <v>3392</v>
      </c>
      <c r="F564" s="8" t="s">
        <v>572</v>
      </c>
      <c r="G564" s="6" t="s">
        <v>62</v>
      </c>
      <c r="H564" s="6" t="s">
        <v>39</v>
      </c>
      <c r="I564" s="8" t="s">
        <v>40</v>
      </c>
      <c r="J564" s="9">
        <v>1</v>
      </c>
      <c r="K564" s="9">
        <v>247</v>
      </c>
      <c r="L564" s="9">
        <v>2023</v>
      </c>
      <c r="M564" s="8" t="s">
        <v>3393</v>
      </c>
      <c r="N564" s="8" t="s">
        <v>42</v>
      </c>
      <c r="O564" s="8" t="s">
        <v>43</v>
      </c>
      <c r="P564" s="6" t="s">
        <v>44</v>
      </c>
      <c r="Q564" s="8" t="s">
        <v>45</v>
      </c>
      <c r="R564" s="10" t="s">
        <v>3394</v>
      </c>
      <c r="S564" s="11"/>
      <c r="T564" s="6"/>
      <c r="U564" s="24" t="str">
        <f>HYPERLINK("https://media.infra-m.ru/2110/2110071/cover/2110071.jpg", "Обложка")</f>
        <v>Обложка</v>
      </c>
      <c r="V564" s="24" t="str">
        <f>HYPERLINK("https://znanium.ru/catalog/product/2110071", "Ознакомиться")</f>
        <v>Ознакомиться</v>
      </c>
      <c r="W564" s="8" t="s">
        <v>558</v>
      </c>
      <c r="X564" s="6"/>
      <c r="Y564" s="6"/>
      <c r="Z564" s="6"/>
      <c r="AA564" s="6" t="s">
        <v>57</v>
      </c>
      <c r="AB564" s="8"/>
    </row>
    <row r="565" spans="1:28" s="4" customFormat="1" ht="51.95" customHeight="1">
      <c r="A565" s="5">
        <v>0</v>
      </c>
      <c r="B565" s="6" t="s">
        <v>3395</v>
      </c>
      <c r="C565" s="7">
        <v>2208</v>
      </c>
      <c r="D565" s="8" t="s">
        <v>3396</v>
      </c>
      <c r="E565" s="8" t="s">
        <v>3397</v>
      </c>
      <c r="F565" s="8" t="s">
        <v>3398</v>
      </c>
      <c r="G565" s="6" t="s">
        <v>62</v>
      </c>
      <c r="H565" s="6" t="s">
        <v>39</v>
      </c>
      <c r="I565" s="8" t="s">
        <v>421</v>
      </c>
      <c r="J565" s="9">
        <v>1</v>
      </c>
      <c r="K565" s="9">
        <v>286</v>
      </c>
      <c r="L565" s="9">
        <v>2024</v>
      </c>
      <c r="M565" s="8" t="s">
        <v>3399</v>
      </c>
      <c r="N565" s="8" t="s">
        <v>119</v>
      </c>
      <c r="O565" s="8" t="s">
        <v>162</v>
      </c>
      <c r="P565" s="6" t="s">
        <v>425</v>
      </c>
      <c r="Q565" s="8" t="s">
        <v>45</v>
      </c>
      <c r="R565" s="10" t="s">
        <v>3400</v>
      </c>
      <c r="S565" s="11"/>
      <c r="T565" s="6"/>
      <c r="U565" s="24" t="str">
        <f>HYPERLINK("https://media.infra-m.ru/2166/2166628/cover/2166628.jpg", "Обложка")</f>
        <v>Обложка</v>
      </c>
      <c r="V565" s="24" t="str">
        <f>HYPERLINK("https://znanium.ru/catalog/product/2192986", "Ознакомиться")</f>
        <v>Ознакомиться</v>
      </c>
      <c r="W565" s="8" t="s">
        <v>1022</v>
      </c>
      <c r="X565" s="6"/>
      <c r="Y565" s="6"/>
      <c r="Z565" s="6"/>
      <c r="AA565" s="6" t="s">
        <v>3401</v>
      </c>
      <c r="AB565" s="8"/>
    </row>
    <row r="566" spans="1:28" s="4" customFormat="1" ht="51.95" customHeight="1">
      <c r="A566" s="5">
        <v>0</v>
      </c>
      <c r="B566" s="6" t="s">
        <v>3402</v>
      </c>
      <c r="C566" s="7">
        <v>2220</v>
      </c>
      <c r="D566" s="8" t="s">
        <v>3403</v>
      </c>
      <c r="E566" s="8" t="s">
        <v>3404</v>
      </c>
      <c r="F566" s="8" t="s">
        <v>3398</v>
      </c>
      <c r="G566" s="6" t="s">
        <v>62</v>
      </c>
      <c r="H566" s="6" t="s">
        <v>39</v>
      </c>
      <c r="I566" s="8" t="s">
        <v>40</v>
      </c>
      <c r="J566" s="9">
        <v>1</v>
      </c>
      <c r="K566" s="9">
        <v>290</v>
      </c>
      <c r="L566" s="9">
        <v>2025</v>
      </c>
      <c r="M566" s="8" t="s">
        <v>3405</v>
      </c>
      <c r="N566" s="8" t="s">
        <v>119</v>
      </c>
      <c r="O566" s="8" t="s">
        <v>162</v>
      </c>
      <c r="P566" s="6" t="s">
        <v>425</v>
      </c>
      <c r="Q566" s="8" t="s">
        <v>45</v>
      </c>
      <c r="R566" s="10" t="s">
        <v>3400</v>
      </c>
      <c r="S566" s="11"/>
      <c r="T566" s="6"/>
      <c r="U566" s="24" t="str">
        <f>HYPERLINK("https://media.infra-m.ru/2192/2192986/cover/2192986.jpg", "Обложка")</f>
        <v>Обложка</v>
      </c>
      <c r="V566" s="24" t="str">
        <f>HYPERLINK("https://znanium.ru/catalog/product/2192986", "Ознакомиться")</f>
        <v>Ознакомиться</v>
      </c>
      <c r="W566" s="8" t="s">
        <v>1022</v>
      </c>
      <c r="X566" s="6"/>
      <c r="Y566" s="6"/>
      <c r="Z566" s="6"/>
      <c r="AA566" s="6" t="s">
        <v>203</v>
      </c>
      <c r="AB566" s="8"/>
    </row>
    <row r="567" spans="1:28" s="4" customFormat="1" ht="51.95" customHeight="1">
      <c r="A567" s="5">
        <v>0</v>
      </c>
      <c r="B567" s="6" t="s">
        <v>3406</v>
      </c>
      <c r="C567" s="7">
        <v>1080</v>
      </c>
      <c r="D567" s="8" t="s">
        <v>3407</v>
      </c>
      <c r="E567" s="8" t="s">
        <v>3408</v>
      </c>
      <c r="F567" s="8" t="s">
        <v>3398</v>
      </c>
      <c r="G567" s="6" t="s">
        <v>2971</v>
      </c>
      <c r="H567" s="6" t="s">
        <v>39</v>
      </c>
      <c r="I567" s="8"/>
      <c r="J567" s="9">
        <v>1</v>
      </c>
      <c r="K567" s="9">
        <v>280</v>
      </c>
      <c r="L567" s="9">
        <v>2018</v>
      </c>
      <c r="M567" s="8" t="s">
        <v>3409</v>
      </c>
      <c r="N567" s="8" t="s">
        <v>119</v>
      </c>
      <c r="O567" s="8" t="s">
        <v>162</v>
      </c>
      <c r="P567" s="6" t="s">
        <v>425</v>
      </c>
      <c r="Q567" s="8" t="s">
        <v>45</v>
      </c>
      <c r="R567" s="10" t="s">
        <v>3400</v>
      </c>
      <c r="S567" s="11"/>
      <c r="T567" s="6"/>
      <c r="U567" s="24" t="str">
        <f>HYPERLINK("https://media.infra-m.ru/0959/0959358/cover/959358.jpg", "Обложка")</f>
        <v>Обложка</v>
      </c>
      <c r="V567" s="24" t="str">
        <f>HYPERLINK("https://znanium.ru/catalog/product/2192986", "Ознакомиться")</f>
        <v>Ознакомиться</v>
      </c>
      <c r="W567" s="8" t="s">
        <v>1022</v>
      </c>
      <c r="X567" s="6"/>
      <c r="Y567" s="6"/>
      <c r="Z567" s="6"/>
      <c r="AA567" s="6" t="s">
        <v>138</v>
      </c>
      <c r="AB567" s="8"/>
    </row>
    <row r="568" spans="1:28" s="4" customFormat="1" ht="44.1" customHeight="1">
      <c r="A568" s="5">
        <v>0</v>
      </c>
      <c r="B568" s="6" t="s">
        <v>3410</v>
      </c>
      <c r="C568" s="7">
        <v>1180.8</v>
      </c>
      <c r="D568" s="8" t="s">
        <v>3411</v>
      </c>
      <c r="E568" s="8" t="s">
        <v>3412</v>
      </c>
      <c r="F568" s="8" t="s">
        <v>3413</v>
      </c>
      <c r="G568" s="6" t="s">
        <v>38</v>
      </c>
      <c r="H568" s="6" t="s">
        <v>39</v>
      </c>
      <c r="I568" s="8" t="s">
        <v>40</v>
      </c>
      <c r="J568" s="9">
        <v>1</v>
      </c>
      <c r="K568" s="9">
        <v>210</v>
      </c>
      <c r="L568" s="9">
        <v>2024</v>
      </c>
      <c r="M568" s="8" t="s">
        <v>3414</v>
      </c>
      <c r="N568" s="8" t="s">
        <v>42</v>
      </c>
      <c r="O568" s="8" t="s">
        <v>89</v>
      </c>
      <c r="P568" s="6" t="s">
        <v>44</v>
      </c>
      <c r="Q568" s="8" t="s">
        <v>45</v>
      </c>
      <c r="R568" s="10" t="s">
        <v>3415</v>
      </c>
      <c r="S568" s="11"/>
      <c r="T568" s="6"/>
      <c r="U568" s="24" t="str">
        <f>HYPERLINK("https://media.infra-m.ru/2138/2138718/cover/2138718.jpg", "Обложка")</f>
        <v>Обложка</v>
      </c>
      <c r="V568" s="24" t="str">
        <f>HYPERLINK("https://znanium.ru/catalog/product/1912413", "Ознакомиться")</f>
        <v>Ознакомиться</v>
      </c>
      <c r="W568" s="8" t="s">
        <v>594</v>
      </c>
      <c r="X568" s="6"/>
      <c r="Y568" s="6"/>
      <c r="Z568" s="6"/>
      <c r="AA568" s="6" t="s">
        <v>129</v>
      </c>
      <c r="AB568" s="8"/>
    </row>
    <row r="569" spans="1:28" s="4" customFormat="1" ht="51.95" customHeight="1">
      <c r="A569" s="5">
        <v>0</v>
      </c>
      <c r="B569" s="6" t="s">
        <v>3416</v>
      </c>
      <c r="C569" s="7">
        <v>1980</v>
      </c>
      <c r="D569" s="8" t="s">
        <v>3417</v>
      </c>
      <c r="E569" s="8" t="s">
        <v>3418</v>
      </c>
      <c r="F569" s="8" t="s">
        <v>3419</v>
      </c>
      <c r="G569" s="6" t="s">
        <v>62</v>
      </c>
      <c r="H569" s="6" t="s">
        <v>39</v>
      </c>
      <c r="I569" s="8" t="s">
        <v>40</v>
      </c>
      <c r="J569" s="9">
        <v>1</v>
      </c>
      <c r="K569" s="9">
        <v>484</v>
      </c>
      <c r="L569" s="9">
        <v>2019</v>
      </c>
      <c r="M569" s="8" t="s">
        <v>3420</v>
      </c>
      <c r="N569" s="8" t="s">
        <v>119</v>
      </c>
      <c r="O569" s="8" t="s">
        <v>120</v>
      </c>
      <c r="P569" s="6" t="s">
        <v>248</v>
      </c>
      <c r="Q569" s="8" t="s">
        <v>45</v>
      </c>
      <c r="R569" s="10" t="s">
        <v>3421</v>
      </c>
      <c r="S569" s="11"/>
      <c r="T569" s="6"/>
      <c r="U569" s="24" t="str">
        <f>HYPERLINK("https://media.infra-m.ru/0987/0987411/cover/987411.jpg", "Обложка")</f>
        <v>Обложка</v>
      </c>
      <c r="V569" s="24" t="str">
        <f>HYPERLINK("https://znanium.ru/catalog/product/987411", "Ознакомиться")</f>
        <v>Ознакомиться</v>
      </c>
      <c r="W569" s="8" t="s">
        <v>256</v>
      </c>
      <c r="X569" s="6"/>
      <c r="Y569" s="6"/>
      <c r="Z569" s="6"/>
      <c r="AA569" s="6" t="s">
        <v>213</v>
      </c>
      <c r="AB569" s="8"/>
    </row>
    <row r="570" spans="1:28" s="4" customFormat="1" ht="51.95" customHeight="1">
      <c r="A570" s="5">
        <v>0</v>
      </c>
      <c r="B570" s="6" t="s">
        <v>3422</v>
      </c>
      <c r="C570" s="7">
        <v>1484.4</v>
      </c>
      <c r="D570" s="8" t="s">
        <v>3423</v>
      </c>
      <c r="E570" s="8" t="s">
        <v>3424</v>
      </c>
      <c r="F570" s="8" t="s">
        <v>3425</v>
      </c>
      <c r="G570" s="6" t="s">
        <v>96</v>
      </c>
      <c r="H570" s="6" t="s">
        <v>167</v>
      </c>
      <c r="I570" s="8"/>
      <c r="J570" s="9">
        <v>1</v>
      </c>
      <c r="K570" s="9">
        <v>200</v>
      </c>
      <c r="L570" s="9">
        <v>2025</v>
      </c>
      <c r="M570" s="8" t="s">
        <v>3426</v>
      </c>
      <c r="N570" s="8" t="s">
        <v>119</v>
      </c>
      <c r="O570" s="8" t="s">
        <v>120</v>
      </c>
      <c r="P570" s="6" t="s">
        <v>154</v>
      </c>
      <c r="Q570" s="8" t="s">
        <v>1435</v>
      </c>
      <c r="R570" s="10" t="s">
        <v>3427</v>
      </c>
      <c r="S570" s="11"/>
      <c r="T570" s="6"/>
      <c r="U570" s="24" t="str">
        <f>HYPERLINK("https://media.infra-m.ru/2213/2213262/cover/2213262.jpg", "Обложка")</f>
        <v>Обложка</v>
      </c>
      <c r="V570" s="24" t="str">
        <f>HYPERLINK("https://znanium.ru/catalog/product/2205623", "Ознакомиться")</f>
        <v>Ознакомиться</v>
      </c>
      <c r="W570" s="8" t="s">
        <v>202</v>
      </c>
      <c r="X570" s="6"/>
      <c r="Y570" s="6"/>
      <c r="Z570" s="6"/>
      <c r="AA570" s="6" t="s">
        <v>360</v>
      </c>
      <c r="AB570" s="8"/>
    </row>
    <row r="571" spans="1:28" s="4" customFormat="1" ht="44.1" customHeight="1">
      <c r="A571" s="5">
        <v>0</v>
      </c>
      <c r="B571" s="6" t="s">
        <v>3428</v>
      </c>
      <c r="C571" s="7">
        <v>1392</v>
      </c>
      <c r="D571" s="8" t="s">
        <v>3429</v>
      </c>
      <c r="E571" s="8" t="s">
        <v>3430</v>
      </c>
      <c r="F571" s="8" t="s">
        <v>3431</v>
      </c>
      <c r="G571" s="6" t="s">
        <v>38</v>
      </c>
      <c r="H571" s="6" t="s">
        <v>39</v>
      </c>
      <c r="I571" s="8" t="s">
        <v>40</v>
      </c>
      <c r="J571" s="9">
        <v>1</v>
      </c>
      <c r="K571" s="9">
        <v>231</v>
      </c>
      <c r="L571" s="9">
        <v>2025</v>
      </c>
      <c r="M571" s="8" t="s">
        <v>3432</v>
      </c>
      <c r="N571" s="8" t="s">
        <v>144</v>
      </c>
      <c r="O571" s="8" t="s">
        <v>145</v>
      </c>
      <c r="P571" s="6" t="s">
        <v>44</v>
      </c>
      <c r="Q571" s="8" t="s">
        <v>45</v>
      </c>
      <c r="R571" s="10" t="s">
        <v>3433</v>
      </c>
      <c r="S571" s="11"/>
      <c r="T571" s="6"/>
      <c r="U571" s="24" t="str">
        <f>HYPERLINK("https://media.infra-m.ru/2179/2179086/cover/2179086.jpg", "Обложка")</f>
        <v>Обложка</v>
      </c>
      <c r="V571" s="24" t="str">
        <f>HYPERLINK("https://znanium.ru/catalog/product/2179086", "Ознакомиться")</f>
        <v>Ознакомиться</v>
      </c>
      <c r="W571" s="8" t="s">
        <v>3434</v>
      </c>
      <c r="X571" s="6"/>
      <c r="Y571" s="6"/>
      <c r="Z571" s="6"/>
      <c r="AA571" s="6" t="s">
        <v>83</v>
      </c>
      <c r="AB571" s="8"/>
    </row>
    <row r="572" spans="1:28" s="4" customFormat="1" ht="51.95" customHeight="1">
      <c r="A572" s="5">
        <v>0</v>
      </c>
      <c r="B572" s="6" t="s">
        <v>3435</v>
      </c>
      <c r="C572" s="7">
        <v>1576.8</v>
      </c>
      <c r="D572" s="8" t="s">
        <v>3436</v>
      </c>
      <c r="E572" s="8" t="s">
        <v>3437</v>
      </c>
      <c r="F572" s="8" t="s">
        <v>3438</v>
      </c>
      <c r="G572" s="6" t="s">
        <v>62</v>
      </c>
      <c r="H572" s="6" t="s">
        <v>39</v>
      </c>
      <c r="I572" s="8" t="s">
        <v>340</v>
      </c>
      <c r="J572" s="9">
        <v>1</v>
      </c>
      <c r="K572" s="9">
        <v>239</v>
      </c>
      <c r="L572" s="9">
        <v>2026</v>
      </c>
      <c r="M572" s="8" t="s">
        <v>3439</v>
      </c>
      <c r="N572" s="8" t="s">
        <v>119</v>
      </c>
      <c r="O572" s="8" t="s">
        <v>613</v>
      </c>
      <c r="P572" s="6" t="s">
        <v>271</v>
      </c>
      <c r="Q572" s="8" t="s">
        <v>45</v>
      </c>
      <c r="R572" s="10" t="s">
        <v>3440</v>
      </c>
      <c r="S572" s="11"/>
      <c r="T572" s="6"/>
      <c r="U572" s="24" t="str">
        <f>HYPERLINK("https://media.infra-m.ru/2231/2231243/cover/2231243.jpg", "Обложка")</f>
        <v>Обложка</v>
      </c>
      <c r="V572" s="24" t="str">
        <f>HYPERLINK("https://znanium.ru/catalog/product/1167070", "Ознакомиться")</f>
        <v>Ознакомиться</v>
      </c>
      <c r="W572" s="8" t="s">
        <v>800</v>
      </c>
      <c r="X572" s="6"/>
      <c r="Y572" s="6"/>
      <c r="Z572" s="6"/>
      <c r="AA572" s="6" t="s">
        <v>391</v>
      </c>
      <c r="AB572" s="8"/>
    </row>
    <row r="573" spans="1:28" s="4" customFormat="1" ht="42" customHeight="1">
      <c r="A573" s="5">
        <v>0</v>
      </c>
      <c r="B573" s="6" t="s">
        <v>3441</v>
      </c>
      <c r="C573" s="7">
        <v>1092</v>
      </c>
      <c r="D573" s="8" t="s">
        <v>3442</v>
      </c>
      <c r="E573" s="8" t="s">
        <v>3443</v>
      </c>
      <c r="F573" s="8" t="s">
        <v>3444</v>
      </c>
      <c r="G573" s="6" t="s">
        <v>62</v>
      </c>
      <c r="H573" s="6" t="s">
        <v>39</v>
      </c>
      <c r="I573" s="8" t="s">
        <v>1529</v>
      </c>
      <c r="J573" s="9">
        <v>1</v>
      </c>
      <c r="K573" s="9">
        <v>237</v>
      </c>
      <c r="L573" s="9">
        <v>2021</v>
      </c>
      <c r="M573" s="8" t="s">
        <v>3445</v>
      </c>
      <c r="N573" s="8" t="s">
        <v>42</v>
      </c>
      <c r="O573" s="8" t="s">
        <v>43</v>
      </c>
      <c r="P573" s="6" t="s">
        <v>44</v>
      </c>
      <c r="Q573" s="8" t="s">
        <v>45</v>
      </c>
      <c r="R573" s="10" t="s">
        <v>1699</v>
      </c>
      <c r="S573" s="11"/>
      <c r="T573" s="6"/>
      <c r="U573" s="24" t="str">
        <f>HYPERLINK("https://media.infra-m.ru/1403/1403222/cover/1403222.jpg", "Обложка")</f>
        <v>Обложка</v>
      </c>
      <c r="V573" s="12"/>
      <c r="W573" s="8" t="s">
        <v>1406</v>
      </c>
      <c r="X573" s="6"/>
      <c r="Y573" s="6"/>
      <c r="Z573" s="6"/>
      <c r="AA573" s="6" t="s">
        <v>138</v>
      </c>
      <c r="AB573" s="8"/>
    </row>
    <row r="574" spans="1:28" s="4" customFormat="1" ht="42" customHeight="1">
      <c r="A574" s="5">
        <v>0</v>
      </c>
      <c r="B574" s="6" t="s">
        <v>3446</v>
      </c>
      <c r="C574" s="7">
        <v>1744.8</v>
      </c>
      <c r="D574" s="8" t="s">
        <v>3447</v>
      </c>
      <c r="E574" s="8" t="s">
        <v>3448</v>
      </c>
      <c r="F574" s="8" t="s">
        <v>3449</v>
      </c>
      <c r="G574" s="6" t="s">
        <v>96</v>
      </c>
      <c r="H574" s="6" t="s">
        <v>39</v>
      </c>
      <c r="I574" s="8" t="s">
        <v>40</v>
      </c>
      <c r="J574" s="9">
        <v>1</v>
      </c>
      <c r="K574" s="9">
        <v>280</v>
      </c>
      <c r="L574" s="9">
        <v>2026</v>
      </c>
      <c r="M574" s="8" t="s">
        <v>3450</v>
      </c>
      <c r="N574" s="8" t="s">
        <v>144</v>
      </c>
      <c r="O574" s="8" t="s">
        <v>145</v>
      </c>
      <c r="P574" s="6" t="s">
        <v>44</v>
      </c>
      <c r="Q574" s="8" t="s">
        <v>45</v>
      </c>
      <c r="R574" s="10" t="s">
        <v>3451</v>
      </c>
      <c r="S574" s="11"/>
      <c r="T574" s="6"/>
      <c r="U574" s="24" t="str">
        <f>HYPERLINK("https://media.infra-m.ru/2213/2213281/cover/2213281.jpg", "Обложка")</f>
        <v>Обложка</v>
      </c>
      <c r="V574" s="24" t="str">
        <f>HYPERLINK("https://znanium.ru/catalog/product/2094495", "Ознакомиться")</f>
        <v>Ознакомиться</v>
      </c>
      <c r="W574" s="8"/>
      <c r="X574" s="6"/>
      <c r="Y574" s="6"/>
      <c r="Z574" s="6"/>
      <c r="AA574" s="6" t="s">
        <v>264</v>
      </c>
      <c r="AB574" s="8"/>
    </row>
    <row r="575" spans="1:28" s="4" customFormat="1" ht="42" customHeight="1">
      <c r="A575" s="5">
        <v>0</v>
      </c>
      <c r="B575" s="6" t="s">
        <v>3452</v>
      </c>
      <c r="C575" s="13">
        <v>588</v>
      </c>
      <c r="D575" s="8" t="s">
        <v>3453</v>
      </c>
      <c r="E575" s="8" t="s">
        <v>3454</v>
      </c>
      <c r="F575" s="8" t="s">
        <v>3455</v>
      </c>
      <c r="G575" s="6" t="s">
        <v>96</v>
      </c>
      <c r="H575" s="6" t="s">
        <v>39</v>
      </c>
      <c r="I575" s="8" t="s">
        <v>1529</v>
      </c>
      <c r="J575" s="9">
        <v>1</v>
      </c>
      <c r="K575" s="9">
        <v>156</v>
      </c>
      <c r="L575" s="9">
        <v>2018</v>
      </c>
      <c r="M575" s="8" t="s">
        <v>3456</v>
      </c>
      <c r="N575" s="8" t="s">
        <v>42</v>
      </c>
      <c r="O575" s="8" t="s">
        <v>72</v>
      </c>
      <c r="P575" s="6" t="s">
        <v>44</v>
      </c>
      <c r="Q575" s="8" t="s">
        <v>45</v>
      </c>
      <c r="R575" s="10"/>
      <c r="S575" s="11"/>
      <c r="T575" s="6"/>
      <c r="U575" s="24" t="str">
        <f>HYPERLINK("https://media.infra-m.ru/0925/0925967/cover/925967.jpg", "Обложка")</f>
        <v>Обложка</v>
      </c>
      <c r="V575" s="12"/>
      <c r="W575" s="8" t="s">
        <v>1532</v>
      </c>
      <c r="X575" s="6"/>
      <c r="Y575" s="6"/>
      <c r="Z575" s="6"/>
      <c r="AA575" s="6" t="s">
        <v>138</v>
      </c>
      <c r="AB575" s="8"/>
    </row>
    <row r="576" spans="1:28" s="4" customFormat="1" ht="42" customHeight="1">
      <c r="A576" s="5">
        <v>0</v>
      </c>
      <c r="B576" s="6" t="s">
        <v>3457</v>
      </c>
      <c r="C576" s="7">
        <v>1492.8</v>
      </c>
      <c r="D576" s="8" t="s">
        <v>3458</v>
      </c>
      <c r="E576" s="8" t="s">
        <v>3459</v>
      </c>
      <c r="F576" s="8" t="s">
        <v>3460</v>
      </c>
      <c r="G576" s="6" t="s">
        <v>38</v>
      </c>
      <c r="H576" s="6" t="s">
        <v>118</v>
      </c>
      <c r="I576" s="8" t="s">
        <v>40</v>
      </c>
      <c r="J576" s="9">
        <v>1</v>
      </c>
      <c r="K576" s="9">
        <v>238</v>
      </c>
      <c r="L576" s="9">
        <v>2025</v>
      </c>
      <c r="M576" s="8" t="s">
        <v>3461</v>
      </c>
      <c r="N576" s="8" t="s">
        <v>42</v>
      </c>
      <c r="O576" s="8" t="s">
        <v>43</v>
      </c>
      <c r="P576" s="6" t="s">
        <v>44</v>
      </c>
      <c r="Q576" s="8" t="s">
        <v>45</v>
      </c>
      <c r="R576" s="10" t="s">
        <v>751</v>
      </c>
      <c r="S576" s="11"/>
      <c r="T576" s="6"/>
      <c r="U576" s="24" t="str">
        <f>HYPERLINK("https://media.infra-m.ru/2196/2196887/cover/2196887.jpg", "Обложка")</f>
        <v>Обложка</v>
      </c>
      <c r="V576" s="24" t="str">
        <f>HYPERLINK("https://znanium.ru/catalog/product/2063336", "Ознакомиться")</f>
        <v>Ознакомиться</v>
      </c>
      <c r="W576" s="8"/>
      <c r="X576" s="6"/>
      <c r="Y576" s="6"/>
      <c r="Z576" s="6"/>
      <c r="AA576" s="6" t="s">
        <v>183</v>
      </c>
      <c r="AB576" s="8"/>
    </row>
    <row r="577" spans="1:28" s="4" customFormat="1" ht="42" customHeight="1">
      <c r="A577" s="5">
        <v>0</v>
      </c>
      <c r="B577" s="6" t="s">
        <v>3462</v>
      </c>
      <c r="C577" s="7">
        <v>3708</v>
      </c>
      <c r="D577" s="8" t="s">
        <v>3463</v>
      </c>
      <c r="E577" s="8" t="s">
        <v>3464</v>
      </c>
      <c r="F577" s="8" t="s">
        <v>3465</v>
      </c>
      <c r="G577" s="6" t="s">
        <v>96</v>
      </c>
      <c r="H577" s="6" t="s">
        <v>39</v>
      </c>
      <c r="I577" s="8" t="s">
        <v>365</v>
      </c>
      <c r="J577" s="9">
        <v>1</v>
      </c>
      <c r="K577" s="9">
        <v>718</v>
      </c>
      <c r="L577" s="9">
        <v>2026</v>
      </c>
      <c r="M577" s="8" t="s">
        <v>3466</v>
      </c>
      <c r="N577" s="8" t="s">
        <v>42</v>
      </c>
      <c r="O577" s="8" t="s">
        <v>43</v>
      </c>
      <c r="P577" s="6" t="s">
        <v>271</v>
      </c>
      <c r="Q577" s="8" t="s">
        <v>45</v>
      </c>
      <c r="R577" s="10" t="s">
        <v>3467</v>
      </c>
      <c r="S577" s="11"/>
      <c r="T577" s="6"/>
      <c r="U577" s="24" t="str">
        <f>HYPERLINK("https://media.infra-m.ru/2216/2216045/cover/2216045.jpg", "Обложка")</f>
        <v>Обложка</v>
      </c>
      <c r="V577" s="24" t="str">
        <f>HYPERLINK("https://znanium.ru/catalog/product/2216045", "Ознакомиться")</f>
        <v>Ознакомиться</v>
      </c>
      <c r="W577" s="8" t="s">
        <v>156</v>
      </c>
      <c r="X577" s="6"/>
      <c r="Y577" s="6"/>
      <c r="Z577" s="6"/>
      <c r="AA577" s="6" t="s">
        <v>273</v>
      </c>
      <c r="AB577" s="8"/>
    </row>
    <row r="578" spans="1:28" s="4" customFormat="1" ht="42" customHeight="1">
      <c r="A578" s="5">
        <v>0</v>
      </c>
      <c r="B578" s="6" t="s">
        <v>3468</v>
      </c>
      <c r="C578" s="13">
        <v>624</v>
      </c>
      <c r="D578" s="8" t="s">
        <v>3469</v>
      </c>
      <c r="E578" s="8" t="s">
        <v>3470</v>
      </c>
      <c r="F578" s="8" t="s">
        <v>3471</v>
      </c>
      <c r="G578" s="6" t="s">
        <v>38</v>
      </c>
      <c r="H578" s="6" t="s">
        <v>39</v>
      </c>
      <c r="I578" s="8" t="s">
        <v>1641</v>
      </c>
      <c r="J578" s="9">
        <v>1</v>
      </c>
      <c r="K578" s="9">
        <v>160</v>
      </c>
      <c r="L578" s="9">
        <v>2020</v>
      </c>
      <c r="M578" s="8" t="s">
        <v>3472</v>
      </c>
      <c r="N578" s="8" t="s">
        <v>42</v>
      </c>
      <c r="O578" s="8" t="s">
        <v>43</v>
      </c>
      <c r="P578" s="6" t="s">
        <v>271</v>
      </c>
      <c r="Q578" s="8" t="s">
        <v>45</v>
      </c>
      <c r="R578" s="10" t="s">
        <v>46</v>
      </c>
      <c r="S578" s="11"/>
      <c r="T578" s="6"/>
      <c r="U578" s="24" t="str">
        <f>HYPERLINK("https://media.infra-m.ru/1039/1039306/cover/1039306.jpg", "Обложка")</f>
        <v>Обложка</v>
      </c>
      <c r="V578" s="24" t="str">
        <f>HYPERLINK("https://znanium.ru/catalog/product/1039306", "Ознакомиться")</f>
        <v>Ознакомиться</v>
      </c>
      <c r="W578" s="8" t="s">
        <v>156</v>
      </c>
      <c r="X578" s="6"/>
      <c r="Y578" s="6"/>
      <c r="Z578" s="6"/>
      <c r="AA578" s="6" t="s">
        <v>264</v>
      </c>
      <c r="AB578" s="8"/>
    </row>
    <row r="579" spans="1:28" s="4" customFormat="1" ht="51.95" customHeight="1">
      <c r="A579" s="5">
        <v>0</v>
      </c>
      <c r="B579" s="6" t="s">
        <v>3473</v>
      </c>
      <c r="C579" s="7">
        <v>1056</v>
      </c>
      <c r="D579" s="8" t="s">
        <v>3474</v>
      </c>
      <c r="E579" s="8" t="s">
        <v>3475</v>
      </c>
      <c r="F579" s="8" t="s">
        <v>3476</v>
      </c>
      <c r="G579" s="6" t="s">
        <v>62</v>
      </c>
      <c r="H579" s="6" t="s">
        <v>39</v>
      </c>
      <c r="I579" s="8" t="s">
        <v>340</v>
      </c>
      <c r="J579" s="9">
        <v>1</v>
      </c>
      <c r="K579" s="9">
        <v>176</v>
      </c>
      <c r="L579" s="9">
        <v>2025</v>
      </c>
      <c r="M579" s="8" t="s">
        <v>3477</v>
      </c>
      <c r="N579" s="8" t="s">
        <v>42</v>
      </c>
      <c r="O579" s="8" t="s">
        <v>43</v>
      </c>
      <c r="P579" s="6" t="s">
        <v>271</v>
      </c>
      <c r="Q579" s="8" t="s">
        <v>45</v>
      </c>
      <c r="R579" s="10" t="s">
        <v>3478</v>
      </c>
      <c r="S579" s="11"/>
      <c r="T579" s="6"/>
      <c r="U579" s="24" t="str">
        <f>HYPERLINK("https://media.infra-m.ru/2171/2171239/cover/2171239.jpg", "Обложка")</f>
        <v>Обложка</v>
      </c>
      <c r="V579" s="24" t="str">
        <f>HYPERLINK("https://znanium.ru/catalog/product/2232493", "Ознакомиться")</f>
        <v>Ознакомиться</v>
      </c>
      <c r="W579" s="8" t="s">
        <v>1043</v>
      </c>
      <c r="X579" s="6"/>
      <c r="Y579" s="6"/>
      <c r="Z579" s="6"/>
      <c r="AA579" s="6" t="s">
        <v>91</v>
      </c>
      <c r="AB579" s="8"/>
    </row>
    <row r="580" spans="1:28" s="4" customFormat="1" ht="51.95" customHeight="1">
      <c r="A580" s="5">
        <v>0</v>
      </c>
      <c r="B580" s="6" t="s">
        <v>3479</v>
      </c>
      <c r="C580" s="7">
        <v>3456</v>
      </c>
      <c r="D580" s="8" t="s">
        <v>3480</v>
      </c>
      <c r="E580" s="8" t="s">
        <v>3481</v>
      </c>
      <c r="F580" s="8" t="s">
        <v>3482</v>
      </c>
      <c r="G580" s="6" t="s">
        <v>62</v>
      </c>
      <c r="H580" s="6" t="s">
        <v>1067</v>
      </c>
      <c r="I580" s="8" t="s">
        <v>365</v>
      </c>
      <c r="J580" s="9">
        <v>1</v>
      </c>
      <c r="K580" s="9">
        <v>608</v>
      </c>
      <c r="L580" s="9">
        <v>2003</v>
      </c>
      <c r="M580" s="8" t="s">
        <v>3483</v>
      </c>
      <c r="N580" s="8" t="s">
        <v>119</v>
      </c>
      <c r="O580" s="8" t="s">
        <v>432</v>
      </c>
      <c r="P580" s="6" t="s">
        <v>271</v>
      </c>
      <c r="Q580" s="8" t="s">
        <v>45</v>
      </c>
      <c r="R580" s="10" t="s">
        <v>3484</v>
      </c>
      <c r="S580" s="11"/>
      <c r="T580" s="6"/>
      <c r="U580" s="12"/>
      <c r="V580" s="12"/>
      <c r="W580" s="8" t="s">
        <v>768</v>
      </c>
      <c r="X580" s="6"/>
      <c r="Y580" s="6"/>
      <c r="Z580" s="6"/>
      <c r="AA580" s="6" t="s">
        <v>1009</v>
      </c>
      <c r="AB580" s="8"/>
    </row>
    <row r="581" spans="1:28" s="4" customFormat="1" ht="51.95" customHeight="1">
      <c r="A581" s="5">
        <v>0</v>
      </c>
      <c r="B581" s="6" t="s">
        <v>3485</v>
      </c>
      <c r="C581" s="13">
        <v>676.8</v>
      </c>
      <c r="D581" s="8" t="s">
        <v>3486</v>
      </c>
      <c r="E581" s="8" t="s">
        <v>3487</v>
      </c>
      <c r="F581" s="8" t="s">
        <v>3488</v>
      </c>
      <c r="G581" s="6" t="s">
        <v>38</v>
      </c>
      <c r="H581" s="6" t="s">
        <v>188</v>
      </c>
      <c r="I581" s="8" t="s">
        <v>3489</v>
      </c>
      <c r="J581" s="9">
        <v>1</v>
      </c>
      <c r="K581" s="9">
        <v>112</v>
      </c>
      <c r="L581" s="9">
        <v>2025</v>
      </c>
      <c r="M581" s="8" t="s">
        <v>3490</v>
      </c>
      <c r="N581" s="8" t="s">
        <v>177</v>
      </c>
      <c r="O581" s="8" t="s">
        <v>565</v>
      </c>
      <c r="P581" s="6" t="s">
        <v>271</v>
      </c>
      <c r="Q581" s="8" t="s">
        <v>680</v>
      </c>
      <c r="R581" s="10" t="s">
        <v>3491</v>
      </c>
      <c r="S581" s="11" t="s">
        <v>3492</v>
      </c>
      <c r="T581" s="6"/>
      <c r="U581" s="24" t="str">
        <f>HYPERLINK("https://media.infra-m.ru/2188/2188213/cover/2188213.jpg", "Обложка")</f>
        <v>Обложка</v>
      </c>
      <c r="V581" s="24" t="str">
        <f>HYPERLINK("https://znanium.ru/catalog/product/1280629", "Ознакомиться")</f>
        <v>Ознакомиться</v>
      </c>
      <c r="W581" s="8" t="s">
        <v>3493</v>
      </c>
      <c r="X581" s="6"/>
      <c r="Y581" s="6"/>
      <c r="Z581" s="6"/>
      <c r="AA581" s="6" t="s">
        <v>551</v>
      </c>
      <c r="AB581" s="8"/>
    </row>
    <row r="582" spans="1:28" s="4" customFormat="1" ht="51.95" customHeight="1">
      <c r="A582" s="5">
        <v>0</v>
      </c>
      <c r="B582" s="6" t="s">
        <v>3494</v>
      </c>
      <c r="C582" s="7">
        <v>1308</v>
      </c>
      <c r="D582" s="8" t="s">
        <v>3495</v>
      </c>
      <c r="E582" s="8" t="s">
        <v>3496</v>
      </c>
      <c r="F582" s="8" t="s">
        <v>53</v>
      </c>
      <c r="G582" s="6" t="s">
        <v>96</v>
      </c>
      <c r="H582" s="6" t="s">
        <v>39</v>
      </c>
      <c r="I582" s="8" t="s">
        <v>40</v>
      </c>
      <c r="J582" s="9">
        <v>1</v>
      </c>
      <c r="K582" s="9">
        <v>219</v>
      </c>
      <c r="L582" s="9">
        <v>2024</v>
      </c>
      <c r="M582" s="8" t="s">
        <v>3497</v>
      </c>
      <c r="N582" s="8" t="s">
        <v>42</v>
      </c>
      <c r="O582" s="8" t="s">
        <v>43</v>
      </c>
      <c r="P582" s="6" t="s">
        <v>44</v>
      </c>
      <c r="Q582" s="8" t="s">
        <v>45</v>
      </c>
      <c r="R582" s="10" t="s">
        <v>3498</v>
      </c>
      <c r="S582" s="11"/>
      <c r="T582" s="6"/>
      <c r="U582" s="24" t="str">
        <f>HYPERLINK("https://media.infra-m.ru/2131/2131278/cover/2131278.jpg", "Обложка")</f>
        <v>Обложка</v>
      </c>
      <c r="V582" s="24" t="str">
        <f>HYPERLINK("https://znanium.ru/catalog/product/2131278", "Ознакомиться")</f>
        <v>Ознакомиться</v>
      </c>
      <c r="W582" s="8" t="s">
        <v>56</v>
      </c>
      <c r="X582" s="6"/>
      <c r="Y582" s="6"/>
      <c r="Z582" s="6"/>
      <c r="AA582" s="6" t="s">
        <v>48</v>
      </c>
      <c r="AB582" s="8" t="s">
        <v>616</v>
      </c>
    </row>
    <row r="583" spans="1:28" s="4" customFormat="1" ht="44.1" customHeight="1">
      <c r="A583" s="5">
        <v>0</v>
      </c>
      <c r="B583" s="6" t="s">
        <v>3499</v>
      </c>
      <c r="C583" s="13">
        <v>792</v>
      </c>
      <c r="D583" s="8" t="s">
        <v>3500</v>
      </c>
      <c r="E583" s="8" t="s">
        <v>3501</v>
      </c>
      <c r="F583" s="8" t="s">
        <v>3502</v>
      </c>
      <c r="G583" s="6" t="s">
        <v>38</v>
      </c>
      <c r="H583" s="6" t="s">
        <v>39</v>
      </c>
      <c r="I583" s="8" t="s">
        <v>40</v>
      </c>
      <c r="J583" s="9">
        <v>1</v>
      </c>
      <c r="K583" s="9">
        <v>121</v>
      </c>
      <c r="L583" s="9">
        <v>2024</v>
      </c>
      <c r="M583" s="8" t="s">
        <v>3503</v>
      </c>
      <c r="N583" s="8" t="s">
        <v>42</v>
      </c>
      <c r="O583" s="8" t="s">
        <v>43</v>
      </c>
      <c r="P583" s="6" t="s">
        <v>44</v>
      </c>
      <c r="Q583" s="8" t="s">
        <v>45</v>
      </c>
      <c r="R583" s="10" t="s">
        <v>3504</v>
      </c>
      <c r="S583" s="11"/>
      <c r="T583" s="6"/>
      <c r="U583" s="24" t="str">
        <f>HYPERLINK("https://media.infra-m.ru/2106/2106742/cover/2106742.jpg", "Обложка")</f>
        <v>Обложка</v>
      </c>
      <c r="V583" s="24" t="str">
        <f>HYPERLINK("https://znanium.ru/catalog/product/2106742", "Ознакомиться")</f>
        <v>Ознакомиться</v>
      </c>
      <c r="W583" s="8" t="s">
        <v>3172</v>
      </c>
      <c r="X583" s="6"/>
      <c r="Y583" s="6"/>
      <c r="Z583" s="6"/>
      <c r="AA583" s="6" t="s">
        <v>391</v>
      </c>
      <c r="AB583" s="8"/>
    </row>
    <row r="584" spans="1:28" s="4" customFormat="1" ht="51.95" customHeight="1">
      <c r="A584" s="5">
        <v>0</v>
      </c>
      <c r="B584" s="6" t="s">
        <v>3505</v>
      </c>
      <c r="C584" s="13">
        <v>708</v>
      </c>
      <c r="D584" s="8" t="s">
        <v>3506</v>
      </c>
      <c r="E584" s="8" t="s">
        <v>3507</v>
      </c>
      <c r="F584" s="8" t="s">
        <v>3508</v>
      </c>
      <c r="G584" s="6" t="s">
        <v>38</v>
      </c>
      <c r="H584" s="6" t="s">
        <v>39</v>
      </c>
      <c r="I584" s="8" t="s">
        <v>40</v>
      </c>
      <c r="J584" s="9">
        <v>1</v>
      </c>
      <c r="K584" s="9">
        <v>128</v>
      </c>
      <c r="L584" s="9">
        <v>2024</v>
      </c>
      <c r="M584" s="8" t="s">
        <v>3509</v>
      </c>
      <c r="N584" s="8" t="s">
        <v>42</v>
      </c>
      <c r="O584" s="8" t="s">
        <v>43</v>
      </c>
      <c r="P584" s="6" t="s">
        <v>44</v>
      </c>
      <c r="Q584" s="8" t="s">
        <v>45</v>
      </c>
      <c r="R584" s="10" t="s">
        <v>1719</v>
      </c>
      <c r="S584" s="11"/>
      <c r="T584" s="6"/>
      <c r="U584" s="24" t="str">
        <f>HYPERLINK("https://media.infra-m.ru/2080/2080776/cover/2080776.jpg", "Обложка")</f>
        <v>Обложка</v>
      </c>
      <c r="V584" s="24" t="str">
        <f>HYPERLINK("https://znanium.ru/catalog/product/2080776", "Ознакомиться")</f>
        <v>Ознакомиться</v>
      </c>
      <c r="W584" s="8" t="s">
        <v>329</v>
      </c>
      <c r="X584" s="6"/>
      <c r="Y584" s="6"/>
      <c r="Z584" s="6"/>
      <c r="AA584" s="6" t="s">
        <v>264</v>
      </c>
      <c r="AB584" s="8"/>
    </row>
    <row r="585" spans="1:28" s="4" customFormat="1" ht="44.1" customHeight="1">
      <c r="A585" s="5">
        <v>0</v>
      </c>
      <c r="B585" s="6" t="s">
        <v>3510</v>
      </c>
      <c r="C585" s="13">
        <v>816</v>
      </c>
      <c r="D585" s="8" t="s">
        <v>3511</v>
      </c>
      <c r="E585" s="8" t="s">
        <v>3512</v>
      </c>
      <c r="F585" s="8" t="s">
        <v>291</v>
      </c>
      <c r="G585" s="6" t="s">
        <v>38</v>
      </c>
      <c r="H585" s="6" t="s">
        <v>39</v>
      </c>
      <c r="I585" s="8" t="s">
        <v>40</v>
      </c>
      <c r="J585" s="9">
        <v>1</v>
      </c>
      <c r="K585" s="9">
        <v>175</v>
      </c>
      <c r="L585" s="9">
        <v>2020</v>
      </c>
      <c r="M585" s="8" t="s">
        <v>3513</v>
      </c>
      <c r="N585" s="8" t="s">
        <v>42</v>
      </c>
      <c r="O585" s="8" t="s">
        <v>72</v>
      </c>
      <c r="P585" s="6" t="s">
        <v>44</v>
      </c>
      <c r="Q585" s="8" t="s">
        <v>45</v>
      </c>
      <c r="R585" s="10" t="s">
        <v>3514</v>
      </c>
      <c r="S585" s="11"/>
      <c r="T585" s="6"/>
      <c r="U585" s="24" t="str">
        <f>HYPERLINK("https://media.infra-m.ru/1016/1016656/cover/1016656.jpg", "Обложка")</f>
        <v>Обложка</v>
      </c>
      <c r="V585" s="24" t="str">
        <f>HYPERLINK("https://znanium.ru/catalog/product/1016656", "Ознакомиться")</f>
        <v>Ознакомиться</v>
      </c>
      <c r="W585" s="8" t="s">
        <v>293</v>
      </c>
      <c r="X585" s="6"/>
      <c r="Y585" s="6"/>
      <c r="Z585" s="6"/>
      <c r="AA585" s="6" t="s">
        <v>391</v>
      </c>
      <c r="AB585" s="8"/>
    </row>
    <row r="586" spans="1:28" s="4" customFormat="1" ht="42" customHeight="1">
      <c r="A586" s="5">
        <v>0</v>
      </c>
      <c r="B586" s="6" t="s">
        <v>3515</v>
      </c>
      <c r="C586" s="13">
        <v>744</v>
      </c>
      <c r="D586" s="8" t="s">
        <v>3516</v>
      </c>
      <c r="E586" s="8" t="s">
        <v>3517</v>
      </c>
      <c r="F586" s="8" t="s">
        <v>3518</v>
      </c>
      <c r="G586" s="6" t="s">
        <v>38</v>
      </c>
      <c r="H586" s="6" t="s">
        <v>39</v>
      </c>
      <c r="I586" s="8" t="s">
        <v>40</v>
      </c>
      <c r="J586" s="9">
        <v>1</v>
      </c>
      <c r="K586" s="9">
        <v>138</v>
      </c>
      <c r="L586" s="9">
        <v>2023</v>
      </c>
      <c r="M586" s="8" t="s">
        <v>3519</v>
      </c>
      <c r="N586" s="8" t="s">
        <v>144</v>
      </c>
      <c r="O586" s="8" t="s">
        <v>145</v>
      </c>
      <c r="P586" s="6" t="s">
        <v>44</v>
      </c>
      <c r="Q586" s="8" t="s">
        <v>45</v>
      </c>
      <c r="R586" s="10" t="s">
        <v>3520</v>
      </c>
      <c r="S586" s="11"/>
      <c r="T586" s="6"/>
      <c r="U586" s="24" t="str">
        <f>HYPERLINK("https://media.infra-m.ru/1937/1937184/cover/1937184.jpg", "Обложка")</f>
        <v>Обложка</v>
      </c>
      <c r="V586" s="24" t="str">
        <f>HYPERLINK("https://znanium.ru/catalog/product/1937184", "Ознакомиться")</f>
        <v>Ознакомиться</v>
      </c>
      <c r="W586" s="8" t="s">
        <v>3521</v>
      </c>
      <c r="X586" s="6"/>
      <c r="Y586" s="6"/>
      <c r="Z586" s="6"/>
      <c r="AA586" s="6" t="s">
        <v>57</v>
      </c>
      <c r="AB586" s="8"/>
    </row>
    <row r="587" spans="1:28" s="4" customFormat="1" ht="42" customHeight="1">
      <c r="A587" s="5">
        <v>0</v>
      </c>
      <c r="B587" s="6" t="s">
        <v>3522</v>
      </c>
      <c r="C587" s="13">
        <v>960</v>
      </c>
      <c r="D587" s="8" t="s">
        <v>3523</v>
      </c>
      <c r="E587" s="8" t="s">
        <v>3524</v>
      </c>
      <c r="F587" s="8" t="s">
        <v>3525</v>
      </c>
      <c r="G587" s="6" t="s">
        <v>38</v>
      </c>
      <c r="H587" s="6" t="s">
        <v>39</v>
      </c>
      <c r="I587" s="8" t="s">
        <v>982</v>
      </c>
      <c r="J587" s="9">
        <v>1</v>
      </c>
      <c r="K587" s="9">
        <v>170</v>
      </c>
      <c r="L587" s="9">
        <v>2024</v>
      </c>
      <c r="M587" s="8" t="s">
        <v>3526</v>
      </c>
      <c r="N587" s="8" t="s">
        <v>42</v>
      </c>
      <c r="O587" s="8" t="s">
        <v>43</v>
      </c>
      <c r="P587" s="6" t="s">
        <v>44</v>
      </c>
      <c r="Q587" s="8" t="s">
        <v>45</v>
      </c>
      <c r="R587" s="10" t="s">
        <v>3527</v>
      </c>
      <c r="S587" s="11"/>
      <c r="T587" s="6"/>
      <c r="U587" s="24" t="str">
        <f>HYPERLINK("https://media.infra-m.ru/2145/2145513/cover/2145513.jpg", "Обложка")</f>
        <v>Обложка</v>
      </c>
      <c r="V587" s="24" t="str">
        <f>HYPERLINK("https://znanium.ru/catalog/product/2145513", "Ознакомиться")</f>
        <v>Ознакомиться</v>
      </c>
      <c r="W587" s="8" t="s">
        <v>147</v>
      </c>
      <c r="X587" s="6"/>
      <c r="Y587" s="6"/>
      <c r="Z587" s="6"/>
      <c r="AA587" s="6" t="s">
        <v>138</v>
      </c>
      <c r="AB587" s="8"/>
    </row>
    <row r="588" spans="1:28" s="4" customFormat="1" ht="51.95" customHeight="1">
      <c r="A588" s="5">
        <v>0</v>
      </c>
      <c r="B588" s="6" t="s">
        <v>3528</v>
      </c>
      <c r="C588" s="7">
        <v>1188</v>
      </c>
      <c r="D588" s="8" t="s">
        <v>3529</v>
      </c>
      <c r="E588" s="8" t="s">
        <v>3530</v>
      </c>
      <c r="F588" s="8" t="s">
        <v>3531</v>
      </c>
      <c r="G588" s="6" t="s">
        <v>96</v>
      </c>
      <c r="H588" s="6" t="s">
        <v>39</v>
      </c>
      <c r="I588" s="8" t="s">
        <v>40</v>
      </c>
      <c r="J588" s="9">
        <v>1</v>
      </c>
      <c r="K588" s="9">
        <v>199</v>
      </c>
      <c r="L588" s="9">
        <v>2024</v>
      </c>
      <c r="M588" s="8" t="s">
        <v>3532</v>
      </c>
      <c r="N588" s="8" t="s">
        <v>42</v>
      </c>
      <c r="O588" s="8" t="s">
        <v>43</v>
      </c>
      <c r="P588" s="6" t="s">
        <v>44</v>
      </c>
      <c r="Q588" s="8" t="s">
        <v>45</v>
      </c>
      <c r="R588" s="10" t="s">
        <v>3533</v>
      </c>
      <c r="S588" s="11"/>
      <c r="T588" s="6"/>
      <c r="U588" s="24" t="str">
        <f>HYPERLINK("https://media.infra-m.ru/2100/2100004/cover/2100004.jpg", "Обложка")</f>
        <v>Обложка</v>
      </c>
      <c r="V588" s="24" t="str">
        <f>HYPERLINK("https://znanium.ru/catalog/product/2100004", "Ознакомиться")</f>
        <v>Ознакомиться</v>
      </c>
      <c r="W588" s="8" t="s">
        <v>858</v>
      </c>
      <c r="X588" s="6"/>
      <c r="Y588" s="6"/>
      <c r="Z588" s="6"/>
      <c r="AA588" s="6" t="s">
        <v>48</v>
      </c>
      <c r="AB588" s="8" t="s">
        <v>49</v>
      </c>
    </row>
    <row r="589" spans="1:28" s="4" customFormat="1" ht="51.95" customHeight="1">
      <c r="A589" s="5">
        <v>0</v>
      </c>
      <c r="B589" s="6" t="s">
        <v>3534</v>
      </c>
      <c r="C589" s="7">
        <v>1192.8</v>
      </c>
      <c r="D589" s="8" t="s">
        <v>3535</v>
      </c>
      <c r="E589" s="8" t="s">
        <v>3536</v>
      </c>
      <c r="F589" s="8" t="s">
        <v>3537</v>
      </c>
      <c r="G589" s="6" t="s">
        <v>38</v>
      </c>
      <c r="H589" s="6" t="s">
        <v>39</v>
      </c>
      <c r="I589" s="8" t="s">
        <v>40</v>
      </c>
      <c r="J589" s="9">
        <v>1</v>
      </c>
      <c r="K589" s="9">
        <v>194</v>
      </c>
      <c r="L589" s="9">
        <v>2023</v>
      </c>
      <c r="M589" s="8" t="s">
        <v>3538</v>
      </c>
      <c r="N589" s="8" t="s">
        <v>144</v>
      </c>
      <c r="O589" s="8" t="s">
        <v>145</v>
      </c>
      <c r="P589" s="6" t="s">
        <v>44</v>
      </c>
      <c r="Q589" s="8" t="s">
        <v>45</v>
      </c>
      <c r="R589" s="10" t="s">
        <v>3539</v>
      </c>
      <c r="S589" s="11"/>
      <c r="T589" s="6"/>
      <c r="U589" s="24" t="str">
        <f>HYPERLINK("https://media.infra-m.ru/2214/2214246/cover/2214246.jpg", "Обложка")</f>
        <v>Обложка</v>
      </c>
      <c r="V589" s="24" t="str">
        <f>HYPERLINK("https://znanium.ru/catalog/product/1937185", "Ознакомиться")</f>
        <v>Ознакомиться</v>
      </c>
      <c r="W589" s="8" t="s">
        <v>558</v>
      </c>
      <c r="X589" s="6"/>
      <c r="Y589" s="6"/>
      <c r="Z589" s="6"/>
      <c r="AA589" s="6" t="s">
        <v>129</v>
      </c>
      <c r="AB589" s="8"/>
    </row>
    <row r="590" spans="1:28" s="4" customFormat="1" ht="51.95" customHeight="1">
      <c r="A590" s="5">
        <v>0</v>
      </c>
      <c r="B590" s="6" t="s">
        <v>3540</v>
      </c>
      <c r="C590" s="13">
        <v>432</v>
      </c>
      <c r="D590" s="8" t="s">
        <v>3541</v>
      </c>
      <c r="E590" s="8" t="s">
        <v>3542</v>
      </c>
      <c r="F590" s="8" t="s">
        <v>3543</v>
      </c>
      <c r="G590" s="6" t="s">
        <v>38</v>
      </c>
      <c r="H590" s="6" t="s">
        <v>39</v>
      </c>
      <c r="I590" s="8"/>
      <c r="J590" s="9">
        <v>1</v>
      </c>
      <c r="K590" s="9">
        <v>94</v>
      </c>
      <c r="L590" s="9">
        <v>2023</v>
      </c>
      <c r="M590" s="8" t="s">
        <v>3544</v>
      </c>
      <c r="N590" s="8" t="s">
        <v>119</v>
      </c>
      <c r="O590" s="8" t="s">
        <v>270</v>
      </c>
      <c r="P590" s="6" t="s">
        <v>714</v>
      </c>
      <c r="Q590" s="8" t="s">
        <v>45</v>
      </c>
      <c r="R590" s="10" t="s">
        <v>3545</v>
      </c>
      <c r="S590" s="11"/>
      <c r="T590" s="6"/>
      <c r="U590" s="24" t="str">
        <f>HYPERLINK("https://media.infra-m.ru/2143/2143220/cover/2143220.jpg", "Обложка")</f>
        <v>Обложка</v>
      </c>
      <c r="V590" s="12"/>
      <c r="W590" s="8"/>
      <c r="X590" s="6"/>
      <c r="Y590" s="6"/>
      <c r="Z590" s="6"/>
      <c r="AA590" s="6" t="s">
        <v>91</v>
      </c>
      <c r="AB590" s="8"/>
    </row>
    <row r="591" spans="1:28" s="4" customFormat="1" ht="42" customHeight="1">
      <c r="A591" s="5">
        <v>0</v>
      </c>
      <c r="B591" s="6" t="s">
        <v>3546</v>
      </c>
      <c r="C591" s="7">
        <v>1216.8</v>
      </c>
      <c r="D591" s="8" t="s">
        <v>3547</v>
      </c>
      <c r="E591" s="8" t="s">
        <v>3548</v>
      </c>
      <c r="F591" s="8" t="s">
        <v>3549</v>
      </c>
      <c r="G591" s="6" t="s">
        <v>62</v>
      </c>
      <c r="H591" s="6" t="s">
        <v>39</v>
      </c>
      <c r="I591" s="8" t="s">
        <v>40</v>
      </c>
      <c r="J591" s="9">
        <v>1</v>
      </c>
      <c r="K591" s="9">
        <v>203</v>
      </c>
      <c r="L591" s="9">
        <v>2025</v>
      </c>
      <c r="M591" s="8" t="s">
        <v>3550</v>
      </c>
      <c r="N591" s="8" t="s">
        <v>144</v>
      </c>
      <c r="O591" s="8" t="s">
        <v>145</v>
      </c>
      <c r="P591" s="6" t="s">
        <v>44</v>
      </c>
      <c r="Q591" s="8" t="s">
        <v>45</v>
      </c>
      <c r="R591" s="10" t="s">
        <v>3551</v>
      </c>
      <c r="S591" s="11"/>
      <c r="T591" s="6"/>
      <c r="U591" s="24" t="str">
        <f>HYPERLINK("https://media.infra-m.ru/2172/2172732/cover/2172732.jpg", "Обложка")</f>
        <v>Обложка</v>
      </c>
      <c r="V591" s="24" t="str">
        <f>HYPERLINK("https://znanium.ru/catalog/product/1240756", "Ознакомиться")</f>
        <v>Ознакомиться</v>
      </c>
      <c r="W591" s="8" t="s">
        <v>3211</v>
      </c>
      <c r="X591" s="6"/>
      <c r="Y591" s="6"/>
      <c r="Z591" s="6"/>
      <c r="AA591" s="6" t="s">
        <v>138</v>
      </c>
      <c r="AB591" s="8"/>
    </row>
    <row r="592" spans="1:28" s="4" customFormat="1" ht="51.95" customHeight="1">
      <c r="A592" s="5">
        <v>0</v>
      </c>
      <c r="B592" s="6" t="s">
        <v>3552</v>
      </c>
      <c r="C592" s="7">
        <v>2428.8000000000002</v>
      </c>
      <c r="D592" s="8" t="s">
        <v>3553</v>
      </c>
      <c r="E592" s="8" t="s">
        <v>3554</v>
      </c>
      <c r="F592" s="8" t="s">
        <v>3555</v>
      </c>
      <c r="G592" s="6" t="s">
        <v>62</v>
      </c>
      <c r="H592" s="6" t="s">
        <v>3556</v>
      </c>
      <c r="I592" s="8"/>
      <c r="J592" s="9">
        <v>1</v>
      </c>
      <c r="K592" s="9">
        <v>368</v>
      </c>
      <c r="L592" s="9">
        <v>2026</v>
      </c>
      <c r="M592" s="8" t="s">
        <v>3557</v>
      </c>
      <c r="N592" s="8" t="s">
        <v>119</v>
      </c>
      <c r="O592" s="8" t="s">
        <v>120</v>
      </c>
      <c r="P592" s="6" t="s">
        <v>199</v>
      </c>
      <c r="Q592" s="8" t="s">
        <v>3558</v>
      </c>
      <c r="R592" s="10" t="s">
        <v>3559</v>
      </c>
      <c r="S592" s="11"/>
      <c r="T592" s="6"/>
      <c r="U592" s="24" t="str">
        <f>HYPERLINK("https://media.infra-m.ru/2221/2221345/cover/2221345.jpg", "Обложка")</f>
        <v>Обложка</v>
      </c>
      <c r="V592" s="24" t="str">
        <f>HYPERLINK("https://znanium.ru/catalog/product/2143254", "Ознакомиться")</f>
        <v>Ознакомиться</v>
      </c>
      <c r="W592" s="8" t="s">
        <v>3560</v>
      </c>
      <c r="X592" s="6"/>
      <c r="Y592" s="6"/>
      <c r="Z592" s="6"/>
      <c r="AA592" s="6" t="s">
        <v>227</v>
      </c>
      <c r="AB592" s="8"/>
    </row>
    <row r="593" spans="1:28" s="4" customFormat="1" ht="42" customHeight="1">
      <c r="A593" s="5">
        <v>0</v>
      </c>
      <c r="B593" s="6" t="s">
        <v>3561</v>
      </c>
      <c r="C593" s="7">
        <v>1871.9</v>
      </c>
      <c r="D593" s="8" t="s">
        <v>3562</v>
      </c>
      <c r="E593" s="8" t="s">
        <v>3563</v>
      </c>
      <c r="F593" s="8" t="s">
        <v>3564</v>
      </c>
      <c r="G593" s="6" t="s">
        <v>96</v>
      </c>
      <c r="H593" s="6" t="s">
        <v>167</v>
      </c>
      <c r="I593" s="8"/>
      <c r="J593" s="9">
        <v>1</v>
      </c>
      <c r="K593" s="9">
        <v>400</v>
      </c>
      <c r="L593" s="9">
        <v>2022</v>
      </c>
      <c r="M593" s="8" t="s">
        <v>3565</v>
      </c>
      <c r="N593" s="8" t="s">
        <v>144</v>
      </c>
      <c r="O593" s="8" t="s">
        <v>145</v>
      </c>
      <c r="P593" s="6" t="s">
        <v>44</v>
      </c>
      <c r="Q593" s="8" t="s">
        <v>45</v>
      </c>
      <c r="R593" s="10" t="s">
        <v>170</v>
      </c>
      <c r="S593" s="11"/>
      <c r="T593" s="6"/>
      <c r="U593" s="24" t="str">
        <f>HYPERLINK("https://media.infra-m.ru/1836/1836963/cover/1836963.jpg", "Обложка")</f>
        <v>Обложка</v>
      </c>
      <c r="V593" s="24" t="str">
        <f>HYPERLINK("https://znanium.ru/catalog/product/1836963", "Ознакомиться")</f>
        <v>Ознакомиться</v>
      </c>
      <c r="W593" s="8" t="s">
        <v>202</v>
      </c>
      <c r="X593" s="6"/>
      <c r="Y593" s="6"/>
      <c r="Z593" s="6"/>
      <c r="AA593" s="6" t="s">
        <v>83</v>
      </c>
      <c r="AB593" s="8"/>
    </row>
    <row r="594" spans="1:28" s="4" customFormat="1" ht="42" customHeight="1">
      <c r="A594" s="5">
        <v>0</v>
      </c>
      <c r="B594" s="6" t="s">
        <v>3566</v>
      </c>
      <c r="C594" s="13">
        <v>504</v>
      </c>
      <c r="D594" s="8" t="s">
        <v>3567</v>
      </c>
      <c r="E594" s="8" t="s">
        <v>3568</v>
      </c>
      <c r="F594" s="8" t="s">
        <v>3569</v>
      </c>
      <c r="G594" s="6" t="s">
        <v>38</v>
      </c>
      <c r="H594" s="6" t="s">
        <v>39</v>
      </c>
      <c r="I594" s="8" t="s">
        <v>40</v>
      </c>
      <c r="J594" s="9">
        <v>1</v>
      </c>
      <c r="K594" s="9">
        <v>140</v>
      </c>
      <c r="L594" s="9">
        <v>2019</v>
      </c>
      <c r="M594" s="8" t="s">
        <v>3570</v>
      </c>
      <c r="N594" s="8" t="s">
        <v>119</v>
      </c>
      <c r="O594" s="8" t="s">
        <v>120</v>
      </c>
      <c r="P594" s="6" t="s">
        <v>248</v>
      </c>
      <c r="Q594" s="8" t="s">
        <v>45</v>
      </c>
      <c r="R594" s="10" t="s">
        <v>255</v>
      </c>
      <c r="S594" s="11"/>
      <c r="T594" s="6"/>
      <c r="U594" s="24" t="str">
        <f>HYPERLINK("https://media.infra-m.ru/0989/0989975/cover/989975.jpg", "Обложка")</f>
        <v>Обложка</v>
      </c>
      <c r="V594" s="24" t="str">
        <f>HYPERLINK("https://znanium.ru/catalog/product/989975", "Ознакомиться")</f>
        <v>Ознакомиться</v>
      </c>
      <c r="W594" s="8" t="s">
        <v>256</v>
      </c>
      <c r="X594" s="6"/>
      <c r="Y594" s="6"/>
      <c r="Z594" s="6"/>
      <c r="AA594" s="6" t="s">
        <v>138</v>
      </c>
      <c r="AB594" s="8"/>
    </row>
    <row r="595" spans="1:28" s="4" customFormat="1" ht="42" customHeight="1">
      <c r="A595" s="5">
        <v>0</v>
      </c>
      <c r="B595" s="6" t="s">
        <v>3571</v>
      </c>
      <c r="C595" s="7">
        <v>1096.8</v>
      </c>
      <c r="D595" s="8" t="s">
        <v>3572</v>
      </c>
      <c r="E595" s="8" t="s">
        <v>3573</v>
      </c>
      <c r="F595" s="8" t="s">
        <v>3574</v>
      </c>
      <c r="G595" s="6" t="s">
        <v>96</v>
      </c>
      <c r="H595" s="6" t="s">
        <v>39</v>
      </c>
      <c r="I595" s="8" t="s">
        <v>40</v>
      </c>
      <c r="J595" s="9">
        <v>1</v>
      </c>
      <c r="K595" s="9">
        <v>200</v>
      </c>
      <c r="L595" s="9">
        <v>2023</v>
      </c>
      <c r="M595" s="8" t="s">
        <v>3575</v>
      </c>
      <c r="N595" s="8" t="s">
        <v>144</v>
      </c>
      <c r="O595" s="8" t="s">
        <v>145</v>
      </c>
      <c r="P595" s="6" t="s">
        <v>44</v>
      </c>
      <c r="Q595" s="8" t="s">
        <v>45</v>
      </c>
      <c r="R595" s="10" t="s">
        <v>3576</v>
      </c>
      <c r="S595" s="11"/>
      <c r="T595" s="6"/>
      <c r="U595" s="24" t="str">
        <f>HYPERLINK("https://media.infra-m.ru/2006/2006847/cover/2006847.jpg", "Обложка")</f>
        <v>Обложка</v>
      </c>
      <c r="V595" s="24" t="str">
        <f>HYPERLINK("https://znanium.ru/catalog/product/924027", "Ознакомиться")</f>
        <v>Ознакомиться</v>
      </c>
      <c r="W595" s="8" t="s">
        <v>2005</v>
      </c>
      <c r="X595" s="6"/>
      <c r="Y595" s="6"/>
      <c r="Z595" s="6"/>
      <c r="AA595" s="6" t="s">
        <v>138</v>
      </c>
      <c r="AB595" s="8"/>
    </row>
    <row r="596" spans="1:28" s="4" customFormat="1" ht="51.95" customHeight="1">
      <c r="A596" s="5">
        <v>0</v>
      </c>
      <c r="B596" s="6" t="s">
        <v>3577</v>
      </c>
      <c r="C596" s="7">
        <v>1800</v>
      </c>
      <c r="D596" s="8" t="s">
        <v>3578</v>
      </c>
      <c r="E596" s="8" t="s">
        <v>3579</v>
      </c>
      <c r="F596" s="8" t="s">
        <v>572</v>
      </c>
      <c r="G596" s="6" t="s">
        <v>62</v>
      </c>
      <c r="H596" s="6" t="s">
        <v>39</v>
      </c>
      <c r="I596" s="8" t="s">
        <v>579</v>
      </c>
      <c r="J596" s="9">
        <v>1</v>
      </c>
      <c r="K596" s="9">
        <v>320</v>
      </c>
      <c r="L596" s="9">
        <v>2023</v>
      </c>
      <c r="M596" s="8" t="s">
        <v>3580</v>
      </c>
      <c r="N596" s="8" t="s">
        <v>144</v>
      </c>
      <c r="O596" s="8" t="s">
        <v>145</v>
      </c>
      <c r="P596" s="6" t="s">
        <v>44</v>
      </c>
      <c r="Q596" s="8" t="s">
        <v>45</v>
      </c>
      <c r="R596" s="10" t="s">
        <v>3581</v>
      </c>
      <c r="S596" s="11"/>
      <c r="T596" s="6"/>
      <c r="U596" s="24" t="str">
        <f>HYPERLINK("https://media.infra-m.ru/1976/1976167/cover/1976167.jpg", "Обложка")</f>
        <v>Обложка</v>
      </c>
      <c r="V596" s="24" t="str">
        <f>HYPERLINK("https://znanium.ru/catalog/product/1976167", "Ознакомиться")</f>
        <v>Ознакомиться</v>
      </c>
      <c r="W596" s="8" t="s">
        <v>558</v>
      </c>
      <c r="X596" s="6"/>
      <c r="Y596" s="6"/>
      <c r="Z596" s="6"/>
      <c r="AA596" s="6" t="s">
        <v>391</v>
      </c>
      <c r="AB596" s="8"/>
    </row>
    <row r="597" spans="1:28" s="4" customFormat="1" ht="51.95" customHeight="1">
      <c r="A597" s="5">
        <v>0</v>
      </c>
      <c r="B597" s="6" t="s">
        <v>3582</v>
      </c>
      <c r="C597" s="7">
        <v>1608</v>
      </c>
      <c r="D597" s="8" t="s">
        <v>3583</v>
      </c>
      <c r="E597" s="8" t="s">
        <v>3584</v>
      </c>
      <c r="F597" s="8" t="s">
        <v>3226</v>
      </c>
      <c r="G597" s="6" t="s">
        <v>38</v>
      </c>
      <c r="H597" s="6" t="s">
        <v>39</v>
      </c>
      <c r="I597" s="8" t="s">
        <v>3585</v>
      </c>
      <c r="J597" s="9">
        <v>1</v>
      </c>
      <c r="K597" s="9">
        <v>252</v>
      </c>
      <c r="L597" s="9">
        <v>2026</v>
      </c>
      <c r="M597" s="8" t="s">
        <v>3586</v>
      </c>
      <c r="N597" s="8" t="s">
        <v>144</v>
      </c>
      <c r="O597" s="8" t="s">
        <v>145</v>
      </c>
      <c r="P597" s="6" t="s">
        <v>44</v>
      </c>
      <c r="Q597" s="8" t="s">
        <v>784</v>
      </c>
      <c r="R597" s="10" t="s">
        <v>3587</v>
      </c>
      <c r="S597" s="11"/>
      <c r="T597" s="6"/>
      <c r="U597" s="24" t="str">
        <f>HYPERLINK("https://media.infra-m.ru/2223/2223150/cover/2223150.jpg", "Обложка")</f>
        <v>Обложка</v>
      </c>
      <c r="V597" s="24" t="str">
        <f>HYPERLINK("https://znanium.ru/catalog/product/2223150", "Ознакомиться")</f>
        <v>Ознакомиться</v>
      </c>
      <c r="W597" s="8" t="s">
        <v>2389</v>
      </c>
      <c r="X597" s="6"/>
      <c r="Y597" s="6"/>
      <c r="Z597" s="6"/>
      <c r="AA597" s="6" t="s">
        <v>300</v>
      </c>
      <c r="AB597" s="8"/>
    </row>
    <row r="598" spans="1:28" s="4" customFormat="1" ht="51.95" customHeight="1">
      <c r="A598" s="5">
        <v>0</v>
      </c>
      <c r="B598" s="6" t="s">
        <v>3588</v>
      </c>
      <c r="C598" s="7">
        <v>1572</v>
      </c>
      <c r="D598" s="8" t="s">
        <v>3589</v>
      </c>
      <c r="E598" s="8" t="s">
        <v>3590</v>
      </c>
      <c r="F598" s="8" t="s">
        <v>3591</v>
      </c>
      <c r="G598" s="6" t="s">
        <v>38</v>
      </c>
      <c r="H598" s="6" t="s">
        <v>39</v>
      </c>
      <c r="I598" s="8" t="s">
        <v>40</v>
      </c>
      <c r="J598" s="9">
        <v>1</v>
      </c>
      <c r="K598" s="9">
        <v>252</v>
      </c>
      <c r="L598" s="9">
        <v>2025</v>
      </c>
      <c r="M598" s="8" t="s">
        <v>3592</v>
      </c>
      <c r="N598" s="8" t="s">
        <v>177</v>
      </c>
      <c r="O598" s="8" t="s">
        <v>178</v>
      </c>
      <c r="P598" s="6" t="s">
        <v>248</v>
      </c>
      <c r="Q598" s="8" t="s">
        <v>45</v>
      </c>
      <c r="R598" s="10" t="s">
        <v>3593</v>
      </c>
      <c r="S598" s="11"/>
      <c r="T598" s="6"/>
      <c r="U598" s="24" t="str">
        <f>HYPERLINK("https://media.infra-m.ru/2157/2157003/cover/2157003.jpg", "Обложка")</f>
        <v>Обложка</v>
      </c>
      <c r="V598" s="24" t="str">
        <f>HYPERLINK("https://znanium.ru/catalog/product/2157003", "Ознакомиться")</f>
        <v>Ознакомиться</v>
      </c>
      <c r="W598" s="8" t="s">
        <v>3594</v>
      </c>
      <c r="X598" s="6"/>
      <c r="Y598" s="6"/>
      <c r="Z598" s="6"/>
      <c r="AA598" s="6" t="s">
        <v>273</v>
      </c>
      <c r="AB598" s="8"/>
    </row>
    <row r="599" spans="1:28" s="4" customFormat="1" ht="42" customHeight="1">
      <c r="A599" s="5">
        <v>0</v>
      </c>
      <c r="B599" s="6" t="s">
        <v>3595</v>
      </c>
      <c r="C599" s="7">
        <v>3064.8</v>
      </c>
      <c r="D599" s="8" t="s">
        <v>3596</v>
      </c>
      <c r="E599" s="8" t="s">
        <v>3597</v>
      </c>
      <c r="F599" s="8" t="s">
        <v>3598</v>
      </c>
      <c r="G599" s="6" t="s">
        <v>96</v>
      </c>
      <c r="H599" s="6" t="s">
        <v>39</v>
      </c>
      <c r="I599" s="8" t="s">
        <v>678</v>
      </c>
      <c r="J599" s="9">
        <v>1</v>
      </c>
      <c r="K599" s="9">
        <v>510</v>
      </c>
      <c r="L599" s="9">
        <v>2025</v>
      </c>
      <c r="M599" s="8" t="s">
        <v>3599</v>
      </c>
      <c r="N599" s="8" t="s">
        <v>177</v>
      </c>
      <c r="O599" s="8" t="s">
        <v>178</v>
      </c>
      <c r="P599" s="6" t="s">
        <v>179</v>
      </c>
      <c r="Q599" s="8" t="s">
        <v>680</v>
      </c>
      <c r="R599" s="10" t="s">
        <v>3600</v>
      </c>
      <c r="S599" s="11"/>
      <c r="T599" s="6"/>
      <c r="U599" s="24" t="str">
        <f>HYPERLINK("https://media.infra-m.ru/2170/2170077/cover/2170077.jpg", "Обложка")</f>
        <v>Обложка</v>
      </c>
      <c r="V599" s="24" t="str">
        <f>HYPERLINK("https://znanium.ru/catalog/product/2149827", "Ознакомиться")</f>
        <v>Ознакомиться</v>
      </c>
      <c r="W599" s="8" t="s">
        <v>156</v>
      </c>
      <c r="X599" s="6"/>
      <c r="Y599" s="6"/>
      <c r="Z599" s="6"/>
      <c r="AA599" s="6" t="s">
        <v>208</v>
      </c>
      <c r="AB599" s="8"/>
    </row>
    <row r="600" spans="1:28" s="4" customFormat="1" ht="33" customHeight="1">
      <c r="A600" s="5">
        <v>0</v>
      </c>
      <c r="B600" s="6" t="s">
        <v>3601</v>
      </c>
      <c r="C600" s="13">
        <v>659.9</v>
      </c>
      <c r="D600" s="8" t="s">
        <v>3602</v>
      </c>
      <c r="E600" s="8" t="s">
        <v>3603</v>
      </c>
      <c r="F600" s="8" t="s">
        <v>3604</v>
      </c>
      <c r="G600" s="6" t="s">
        <v>96</v>
      </c>
      <c r="H600" s="6" t="s">
        <v>167</v>
      </c>
      <c r="I600" s="8"/>
      <c r="J600" s="9">
        <v>1</v>
      </c>
      <c r="K600" s="9">
        <v>480</v>
      </c>
      <c r="L600" s="9">
        <v>2016</v>
      </c>
      <c r="M600" s="8" t="s">
        <v>3605</v>
      </c>
      <c r="N600" s="8" t="s">
        <v>119</v>
      </c>
      <c r="O600" s="8" t="s">
        <v>120</v>
      </c>
      <c r="P600" s="6" t="s">
        <v>3606</v>
      </c>
      <c r="Q600" s="8" t="s">
        <v>45</v>
      </c>
      <c r="R600" s="10"/>
      <c r="S600" s="11"/>
      <c r="T600" s="6"/>
      <c r="U600" s="12"/>
      <c r="V600" s="12"/>
      <c r="W600" s="8" t="s">
        <v>3607</v>
      </c>
      <c r="X600" s="6"/>
      <c r="Y600" s="6"/>
      <c r="Z600" s="6"/>
      <c r="AA600" s="6" t="s">
        <v>183</v>
      </c>
      <c r="AB600" s="8"/>
    </row>
    <row r="601" spans="1:28" s="4" customFormat="1" ht="42" customHeight="1">
      <c r="A601" s="5">
        <v>0</v>
      </c>
      <c r="B601" s="6" t="s">
        <v>3608</v>
      </c>
      <c r="C601" s="7">
        <v>1960.8</v>
      </c>
      <c r="D601" s="8" t="s">
        <v>3609</v>
      </c>
      <c r="E601" s="8" t="s">
        <v>3610</v>
      </c>
      <c r="F601" s="8" t="s">
        <v>3611</v>
      </c>
      <c r="G601" s="6" t="s">
        <v>96</v>
      </c>
      <c r="H601" s="6" t="s">
        <v>39</v>
      </c>
      <c r="I601" s="8" t="s">
        <v>365</v>
      </c>
      <c r="J601" s="9">
        <v>1</v>
      </c>
      <c r="K601" s="9">
        <v>314</v>
      </c>
      <c r="L601" s="9">
        <v>2025</v>
      </c>
      <c r="M601" s="8" t="s">
        <v>3612</v>
      </c>
      <c r="N601" s="8" t="s">
        <v>119</v>
      </c>
      <c r="O601" s="8" t="s">
        <v>3613</v>
      </c>
      <c r="P601" s="6" t="s">
        <v>271</v>
      </c>
      <c r="Q601" s="8" t="s">
        <v>45</v>
      </c>
      <c r="R601" s="10" t="s">
        <v>2138</v>
      </c>
      <c r="S601" s="11"/>
      <c r="T601" s="6"/>
      <c r="U601" s="24" t="str">
        <f>HYPERLINK("https://media.infra-m.ru/2196/2196490/cover/2196490.jpg", "Обложка")</f>
        <v>Обложка</v>
      </c>
      <c r="V601" s="24" t="str">
        <f>HYPERLINK("https://znanium.ru/catalog/product/1042089", "Ознакомиться")</f>
        <v>Ознакомиться</v>
      </c>
      <c r="W601" s="8" t="s">
        <v>3614</v>
      </c>
      <c r="X601" s="6"/>
      <c r="Y601" s="6"/>
      <c r="Z601" s="6"/>
      <c r="AA601" s="6" t="s">
        <v>264</v>
      </c>
      <c r="AB601" s="8"/>
    </row>
    <row r="602" spans="1:28" s="4" customFormat="1" ht="42" customHeight="1">
      <c r="A602" s="5">
        <v>0</v>
      </c>
      <c r="B602" s="6" t="s">
        <v>3615</v>
      </c>
      <c r="C602" s="7">
        <v>2396.4</v>
      </c>
      <c r="D602" s="8" t="s">
        <v>3616</v>
      </c>
      <c r="E602" s="8" t="s">
        <v>3617</v>
      </c>
      <c r="F602" s="8" t="s">
        <v>3618</v>
      </c>
      <c r="G602" s="6" t="s">
        <v>96</v>
      </c>
      <c r="H602" s="6" t="s">
        <v>1067</v>
      </c>
      <c r="I602" s="8" t="s">
        <v>365</v>
      </c>
      <c r="J602" s="9">
        <v>1</v>
      </c>
      <c r="K602" s="9">
        <v>629</v>
      </c>
      <c r="L602" s="9">
        <v>2024</v>
      </c>
      <c r="M602" s="8" t="s">
        <v>3619</v>
      </c>
      <c r="N602" s="8" t="s">
        <v>119</v>
      </c>
      <c r="O602" s="8" t="s">
        <v>3613</v>
      </c>
      <c r="P602" s="6" t="s">
        <v>271</v>
      </c>
      <c r="Q602" s="8" t="s">
        <v>45</v>
      </c>
      <c r="R602" s="10" t="s">
        <v>3620</v>
      </c>
      <c r="S602" s="11"/>
      <c r="T602" s="6"/>
      <c r="U602" s="24" t="str">
        <f>HYPERLINK("https://media.infra-m.ru/2129/2129190/cover/2129190.jpg", "Обложка")</f>
        <v>Обложка</v>
      </c>
      <c r="V602" s="24" t="str">
        <f>HYPERLINK("https://znanium.ru/catalog/product/1154378", "Ознакомиться")</f>
        <v>Ознакомиться</v>
      </c>
      <c r="W602" s="8" t="s">
        <v>3621</v>
      </c>
      <c r="X602" s="6"/>
      <c r="Y602" s="6"/>
      <c r="Z602" s="6"/>
      <c r="AA602" s="6" t="s">
        <v>157</v>
      </c>
      <c r="AB602" s="8"/>
    </row>
    <row r="603" spans="1:28" s="4" customFormat="1" ht="51.95" customHeight="1">
      <c r="A603" s="5">
        <v>0</v>
      </c>
      <c r="B603" s="6" t="s">
        <v>3622</v>
      </c>
      <c r="C603" s="7">
        <v>3112.8</v>
      </c>
      <c r="D603" s="8" t="s">
        <v>3623</v>
      </c>
      <c r="E603" s="8" t="s">
        <v>3624</v>
      </c>
      <c r="F603" s="8" t="s">
        <v>3625</v>
      </c>
      <c r="G603" s="6" t="s">
        <v>62</v>
      </c>
      <c r="H603" s="6" t="s">
        <v>39</v>
      </c>
      <c r="I603" s="8" t="s">
        <v>365</v>
      </c>
      <c r="J603" s="9">
        <v>1</v>
      </c>
      <c r="K603" s="9">
        <v>512</v>
      </c>
      <c r="L603" s="9">
        <v>2025</v>
      </c>
      <c r="M603" s="8" t="s">
        <v>3626</v>
      </c>
      <c r="N603" s="8" t="s">
        <v>119</v>
      </c>
      <c r="O603" s="8" t="s">
        <v>432</v>
      </c>
      <c r="P603" s="6" t="s">
        <v>459</v>
      </c>
      <c r="Q603" s="8" t="s">
        <v>180</v>
      </c>
      <c r="R603" s="10" t="s">
        <v>3627</v>
      </c>
      <c r="S603" s="11"/>
      <c r="T603" s="6"/>
      <c r="U603" s="24" t="str">
        <f>HYPERLINK("https://media.infra-m.ru/2208/2208469/cover/2208469.jpg", "Обложка")</f>
        <v>Обложка</v>
      </c>
      <c r="V603" s="24" t="str">
        <f>HYPERLINK("https://znanium.ru/catalog/product/2136248", "Ознакомиться")</f>
        <v>Ознакомиться</v>
      </c>
      <c r="W603" s="8" t="s">
        <v>3621</v>
      </c>
      <c r="X603" s="6"/>
      <c r="Y603" s="6"/>
      <c r="Z603" s="6"/>
      <c r="AA603" s="6" t="s">
        <v>3628</v>
      </c>
      <c r="AB603" s="8"/>
    </row>
    <row r="604" spans="1:28" s="4" customFormat="1" ht="51.95" customHeight="1">
      <c r="A604" s="5">
        <v>0</v>
      </c>
      <c r="B604" s="6" t="s">
        <v>3629</v>
      </c>
      <c r="C604" s="7">
        <v>1444.8</v>
      </c>
      <c r="D604" s="8" t="s">
        <v>3630</v>
      </c>
      <c r="E604" s="8" t="s">
        <v>3631</v>
      </c>
      <c r="F604" s="8" t="s">
        <v>706</v>
      </c>
      <c r="G604" s="6" t="s">
        <v>38</v>
      </c>
      <c r="H604" s="6" t="s">
        <v>167</v>
      </c>
      <c r="I604" s="8"/>
      <c r="J604" s="9">
        <v>1</v>
      </c>
      <c r="K604" s="9">
        <v>240</v>
      </c>
      <c r="L604" s="9">
        <v>2025</v>
      </c>
      <c r="M604" s="8" t="s">
        <v>3632</v>
      </c>
      <c r="N604" s="8" t="s">
        <v>42</v>
      </c>
      <c r="O604" s="8" t="s">
        <v>72</v>
      </c>
      <c r="P604" s="6" t="s">
        <v>44</v>
      </c>
      <c r="Q604" s="8" t="s">
        <v>45</v>
      </c>
      <c r="R604" s="10" t="s">
        <v>3633</v>
      </c>
      <c r="S604" s="11"/>
      <c r="T604" s="6"/>
      <c r="U604" s="24" t="str">
        <f>HYPERLINK("https://media.infra-m.ru/2174/2174446/cover/2174446.jpg", "Обложка")</f>
        <v>Обложка</v>
      </c>
      <c r="V604" s="24" t="str">
        <f>HYPERLINK("https://znanium.ru/catalog/product/1859045", "Ознакомиться")</f>
        <v>Ознакомиться</v>
      </c>
      <c r="W604" s="8" t="s">
        <v>708</v>
      </c>
      <c r="X604" s="6"/>
      <c r="Y604" s="6"/>
      <c r="Z604" s="6"/>
      <c r="AA604" s="6" t="s">
        <v>242</v>
      </c>
      <c r="AB604" s="8"/>
    </row>
    <row r="605" spans="1:28" s="4" customFormat="1" ht="51.95" customHeight="1">
      <c r="A605" s="5">
        <v>0</v>
      </c>
      <c r="B605" s="6" t="s">
        <v>3634</v>
      </c>
      <c r="C605" s="7">
        <v>1444.8</v>
      </c>
      <c r="D605" s="8" t="s">
        <v>3635</v>
      </c>
      <c r="E605" s="8" t="s">
        <v>3636</v>
      </c>
      <c r="F605" s="8" t="s">
        <v>706</v>
      </c>
      <c r="G605" s="6" t="s">
        <v>38</v>
      </c>
      <c r="H605" s="6" t="s">
        <v>167</v>
      </c>
      <c r="I605" s="8"/>
      <c r="J605" s="9">
        <v>1</v>
      </c>
      <c r="K605" s="9">
        <v>240</v>
      </c>
      <c r="L605" s="9">
        <v>2025</v>
      </c>
      <c r="M605" s="8" t="s">
        <v>3632</v>
      </c>
      <c r="N605" s="8" t="s">
        <v>42</v>
      </c>
      <c r="O605" s="8" t="s">
        <v>72</v>
      </c>
      <c r="P605" s="6" t="s">
        <v>44</v>
      </c>
      <c r="Q605" s="8" t="s">
        <v>3558</v>
      </c>
      <c r="R605" s="10" t="s">
        <v>3633</v>
      </c>
      <c r="S605" s="11"/>
      <c r="T605" s="6"/>
      <c r="U605" s="24" t="str">
        <f>HYPERLINK("https://media.infra-m.ru/2184/2184382/cover/2184382.jpg", "Обложка")</f>
        <v>Обложка</v>
      </c>
      <c r="V605" s="24" t="str">
        <f>HYPERLINK("https://znanium.ru/catalog/product/1859045", "Ознакомиться")</f>
        <v>Ознакомиться</v>
      </c>
      <c r="W605" s="8" t="s">
        <v>708</v>
      </c>
      <c r="X605" s="6"/>
      <c r="Y605" s="6"/>
      <c r="Z605" s="6"/>
      <c r="AA605" s="6" t="s">
        <v>3637</v>
      </c>
      <c r="AB605" s="8"/>
    </row>
    <row r="606" spans="1:28" s="4" customFormat="1" ht="42" customHeight="1">
      <c r="A606" s="5">
        <v>0</v>
      </c>
      <c r="B606" s="6" t="s">
        <v>3638</v>
      </c>
      <c r="C606" s="7">
        <v>2098.8000000000002</v>
      </c>
      <c r="D606" s="8" t="s">
        <v>3639</v>
      </c>
      <c r="E606" s="8" t="s">
        <v>3640</v>
      </c>
      <c r="F606" s="8"/>
      <c r="G606" s="6" t="s">
        <v>38</v>
      </c>
      <c r="H606" s="6" t="s">
        <v>3641</v>
      </c>
      <c r="I606" s="8"/>
      <c r="J606" s="9">
        <v>1</v>
      </c>
      <c r="K606" s="9">
        <v>123</v>
      </c>
      <c r="L606" s="9">
        <v>2020</v>
      </c>
      <c r="M606" s="8"/>
      <c r="N606" s="8" t="s">
        <v>423</v>
      </c>
      <c r="O606" s="8" t="s">
        <v>424</v>
      </c>
      <c r="P606" s="6" t="s">
        <v>121</v>
      </c>
      <c r="Q606" s="8" t="s">
        <v>45</v>
      </c>
      <c r="R606" s="10"/>
      <c r="S606" s="11"/>
      <c r="T606" s="6"/>
      <c r="U606" s="24" t="str">
        <f>HYPERLINK("https://media.infra-m.ru/1074/1074457/cover/1074457.jpg", "Обложка")</f>
        <v>Обложка</v>
      </c>
      <c r="V606" s="24" t="str">
        <f>HYPERLINK("https://znanium.ru/catalog/product/2226641", "Ознакомиться")</f>
        <v>Ознакомиться</v>
      </c>
      <c r="W606" s="8"/>
      <c r="X606" s="6"/>
      <c r="Y606" s="6"/>
      <c r="Z606" s="6"/>
      <c r="AA606" s="6"/>
      <c r="AB606" s="8"/>
    </row>
    <row r="607" spans="1:28" s="4" customFormat="1" ht="51.95" customHeight="1">
      <c r="A607" s="5">
        <v>0</v>
      </c>
      <c r="B607" s="6" t="s">
        <v>3642</v>
      </c>
      <c r="C607" s="7">
        <v>2004</v>
      </c>
      <c r="D607" s="8" t="s">
        <v>3643</v>
      </c>
      <c r="E607" s="8" t="s">
        <v>3644</v>
      </c>
      <c r="F607" s="8" t="s">
        <v>3645</v>
      </c>
      <c r="G607" s="6" t="s">
        <v>38</v>
      </c>
      <c r="H607" s="6" t="s">
        <v>39</v>
      </c>
      <c r="I607" s="8" t="s">
        <v>40</v>
      </c>
      <c r="J607" s="9">
        <v>1</v>
      </c>
      <c r="K607" s="9">
        <v>320</v>
      </c>
      <c r="L607" s="9">
        <v>2026</v>
      </c>
      <c r="M607" s="8" t="s">
        <v>3646</v>
      </c>
      <c r="N607" s="8" t="s">
        <v>42</v>
      </c>
      <c r="O607" s="8" t="s">
        <v>1960</v>
      </c>
      <c r="P607" s="6" t="s">
        <v>44</v>
      </c>
      <c r="Q607" s="8" t="s">
        <v>45</v>
      </c>
      <c r="R607" s="10" t="s">
        <v>3647</v>
      </c>
      <c r="S607" s="11"/>
      <c r="T607" s="6"/>
      <c r="U607" s="24" t="str">
        <f>HYPERLINK("https://media.infra-m.ru/2222/2222663/cover/2222663.jpg", "Обложка")</f>
        <v>Обложка</v>
      </c>
      <c r="V607" s="24" t="str">
        <f>HYPERLINK("https://znanium.ru/catalog/product/2222663", "Ознакомиться")</f>
        <v>Ознакомиться</v>
      </c>
      <c r="W607" s="8"/>
      <c r="X607" s="6"/>
      <c r="Y607" s="6"/>
      <c r="Z607" s="6"/>
      <c r="AA607" s="6" t="s">
        <v>391</v>
      </c>
      <c r="AB607" s="8"/>
    </row>
    <row r="608" spans="1:28" s="4" customFormat="1" ht="51.95" customHeight="1">
      <c r="A608" s="5">
        <v>0</v>
      </c>
      <c r="B608" s="6" t="s">
        <v>3648</v>
      </c>
      <c r="C608" s="7">
        <v>2105.9</v>
      </c>
      <c r="D608" s="8" t="s">
        <v>3649</v>
      </c>
      <c r="E608" s="8" t="s">
        <v>3650</v>
      </c>
      <c r="F608" s="8" t="s">
        <v>297</v>
      </c>
      <c r="G608" s="6" t="s">
        <v>62</v>
      </c>
      <c r="H608" s="6" t="s">
        <v>39</v>
      </c>
      <c r="I608" s="8" t="s">
        <v>40</v>
      </c>
      <c r="J608" s="9">
        <v>1</v>
      </c>
      <c r="K608" s="9">
        <v>390</v>
      </c>
      <c r="L608" s="9">
        <v>2023</v>
      </c>
      <c r="M608" s="8" t="s">
        <v>3651</v>
      </c>
      <c r="N608" s="8" t="s">
        <v>42</v>
      </c>
      <c r="O608" s="8" t="s">
        <v>43</v>
      </c>
      <c r="P608" s="6" t="s">
        <v>44</v>
      </c>
      <c r="Q608" s="8" t="s">
        <v>45</v>
      </c>
      <c r="R608" s="10" t="s">
        <v>279</v>
      </c>
      <c r="S608" s="11"/>
      <c r="T608" s="6"/>
      <c r="U608" s="24" t="str">
        <f>HYPERLINK("https://media.infra-m.ru/2002/2002602/cover/2002602.jpg", "Обложка")</f>
        <v>Обложка</v>
      </c>
      <c r="V608" s="24" t="str">
        <f>HYPERLINK("https://znanium.ru/catalog/product/987752", "Ознакомиться")</f>
        <v>Ознакомиться</v>
      </c>
      <c r="W608" s="8" t="s">
        <v>241</v>
      </c>
      <c r="X608" s="6"/>
      <c r="Y608" s="6"/>
      <c r="Z608" s="6"/>
      <c r="AA608" s="6" t="s">
        <v>242</v>
      </c>
      <c r="AB608" s="8"/>
    </row>
    <row r="609" spans="1:28" s="4" customFormat="1" ht="42" customHeight="1">
      <c r="A609" s="5">
        <v>0</v>
      </c>
      <c r="B609" s="6" t="s">
        <v>3652</v>
      </c>
      <c r="C609" s="7">
        <v>2388</v>
      </c>
      <c r="D609" s="8" t="s">
        <v>3653</v>
      </c>
      <c r="E609" s="8" t="s">
        <v>3654</v>
      </c>
      <c r="F609" s="8" t="s">
        <v>3655</v>
      </c>
      <c r="G609" s="6" t="s">
        <v>96</v>
      </c>
      <c r="H609" s="6" t="s">
        <v>39</v>
      </c>
      <c r="I609" s="8" t="s">
        <v>40</v>
      </c>
      <c r="J609" s="9">
        <v>1</v>
      </c>
      <c r="K609" s="9">
        <v>640</v>
      </c>
      <c r="L609" s="9">
        <v>2021</v>
      </c>
      <c r="M609" s="8" t="s">
        <v>3656</v>
      </c>
      <c r="N609" s="8" t="s">
        <v>42</v>
      </c>
      <c r="O609" s="8" t="s">
        <v>72</v>
      </c>
      <c r="P609" s="6" t="s">
        <v>44</v>
      </c>
      <c r="Q609" s="8" t="s">
        <v>45</v>
      </c>
      <c r="R609" s="10" t="s">
        <v>127</v>
      </c>
      <c r="S609" s="11"/>
      <c r="T609" s="6"/>
      <c r="U609" s="24" t="str">
        <f>HYPERLINK("https://media.infra-m.ru/1078/1078147/cover/1078147.jpg", "Обложка")</f>
        <v>Обложка</v>
      </c>
      <c r="V609" s="24" t="str">
        <f>HYPERLINK("https://znanium.ru/catalog/product/1078147", "Ознакомиться")</f>
        <v>Ознакомиться</v>
      </c>
      <c r="W609" s="8" t="s">
        <v>3010</v>
      </c>
      <c r="X609" s="6"/>
      <c r="Y609" s="6"/>
      <c r="Z609" s="6"/>
      <c r="AA609" s="6" t="s">
        <v>129</v>
      </c>
      <c r="AB609" s="8"/>
    </row>
    <row r="610" spans="1:28" s="4" customFormat="1" ht="51.95" customHeight="1">
      <c r="A610" s="5">
        <v>0</v>
      </c>
      <c r="B610" s="6" t="s">
        <v>3657</v>
      </c>
      <c r="C610" s="7">
        <v>2428.8000000000002</v>
      </c>
      <c r="D610" s="8" t="s">
        <v>3658</v>
      </c>
      <c r="E610" s="8" t="s">
        <v>3659</v>
      </c>
      <c r="F610" s="8" t="s">
        <v>3660</v>
      </c>
      <c r="G610" s="6" t="s">
        <v>62</v>
      </c>
      <c r="H610" s="6" t="s">
        <v>39</v>
      </c>
      <c r="I610" s="8" t="s">
        <v>40</v>
      </c>
      <c r="J610" s="9">
        <v>1</v>
      </c>
      <c r="K610" s="9">
        <v>389</v>
      </c>
      <c r="L610" s="9">
        <v>2025</v>
      </c>
      <c r="M610" s="8" t="s">
        <v>3661</v>
      </c>
      <c r="N610" s="8" t="s">
        <v>42</v>
      </c>
      <c r="O610" s="8" t="s">
        <v>89</v>
      </c>
      <c r="P610" s="6" t="s">
        <v>44</v>
      </c>
      <c r="Q610" s="8" t="s">
        <v>45</v>
      </c>
      <c r="R610" s="10" t="s">
        <v>3662</v>
      </c>
      <c r="S610" s="11"/>
      <c r="T610" s="6"/>
      <c r="U610" s="24" t="str">
        <f>HYPERLINK("https://media.infra-m.ru/2210/2210245/cover/2210245.jpg", "Обложка")</f>
        <v>Обложка</v>
      </c>
      <c r="V610" s="24" t="str">
        <f>HYPERLINK("https://znanium.ru/catalog/product/2138937", "Ознакомиться")</f>
        <v>Ознакомиться</v>
      </c>
      <c r="W610" s="8" t="s">
        <v>493</v>
      </c>
      <c r="X610" s="6"/>
      <c r="Y610" s="6" t="s">
        <v>30</v>
      </c>
      <c r="Z610" s="6"/>
      <c r="AA610" s="6" t="s">
        <v>1688</v>
      </c>
      <c r="AB610" s="8"/>
    </row>
    <row r="611" spans="1:28" s="4" customFormat="1" ht="51.95" customHeight="1">
      <c r="A611" s="5">
        <v>0</v>
      </c>
      <c r="B611" s="6" t="s">
        <v>3663</v>
      </c>
      <c r="C611" s="13">
        <v>924</v>
      </c>
      <c r="D611" s="8" t="s">
        <v>3664</v>
      </c>
      <c r="E611" s="8" t="s">
        <v>3665</v>
      </c>
      <c r="F611" s="8" t="s">
        <v>3666</v>
      </c>
      <c r="G611" s="6" t="s">
        <v>96</v>
      </c>
      <c r="H611" s="6" t="s">
        <v>39</v>
      </c>
      <c r="I611" s="8" t="s">
        <v>40</v>
      </c>
      <c r="J611" s="9">
        <v>1</v>
      </c>
      <c r="K611" s="9">
        <v>256</v>
      </c>
      <c r="L611" s="9">
        <v>2018</v>
      </c>
      <c r="M611" s="8" t="s">
        <v>3667</v>
      </c>
      <c r="N611" s="8" t="s">
        <v>42</v>
      </c>
      <c r="O611" s="8" t="s">
        <v>89</v>
      </c>
      <c r="P611" s="6" t="s">
        <v>44</v>
      </c>
      <c r="Q611" s="8" t="s">
        <v>45</v>
      </c>
      <c r="R611" s="10" t="s">
        <v>3662</v>
      </c>
      <c r="S611" s="11"/>
      <c r="T611" s="6"/>
      <c r="U611" s="24" t="str">
        <f>HYPERLINK("https://media.infra-m.ru/0961/0961435/cover/961435.jpg", "Обложка")</f>
        <v>Обложка</v>
      </c>
      <c r="V611" s="24" t="str">
        <f>HYPERLINK("https://znanium.ru/catalog/product/2138937", "Ознакомиться")</f>
        <v>Ознакомиться</v>
      </c>
      <c r="W611" s="8" t="s">
        <v>493</v>
      </c>
      <c r="X611" s="6"/>
      <c r="Y611" s="6" t="s">
        <v>30</v>
      </c>
      <c r="Z611" s="6"/>
      <c r="AA611" s="6" t="s">
        <v>213</v>
      </c>
      <c r="AB611" s="8"/>
    </row>
    <row r="612" spans="1:28" s="4" customFormat="1" ht="51.95" customHeight="1">
      <c r="A612" s="5">
        <v>0</v>
      </c>
      <c r="B612" s="6" t="s">
        <v>3668</v>
      </c>
      <c r="C612" s="7">
        <v>1392</v>
      </c>
      <c r="D612" s="8" t="s">
        <v>3669</v>
      </c>
      <c r="E612" s="8" t="s">
        <v>3670</v>
      </c>
      <c r="F612" s="8" t="s">
        <v>3671</v>
      </c>
      <c r="G612" s="6" t="s">
        <v>38</v>
      </c>
      <c r="H612" s="6" t="s">
        <v>188</v>
      </c>
      <c r="I612" s="8" t="s">
        <v>340</v>
      </c>
      <c r="J612" s="9">
        <v>1</v>
      </c>
      <c r="K612" s="9">
        <v>232</v>
      </c>
      <c r="L612" s="9">
        <v>2024</v>
      </c>
      <c r="M612" s="8" t="s">
        <v>3672</v>
      </c>
      <c r="N612" s="8" t="s">
        <v>119</v>
      </c>
      <c r="O612" s="8" t="s">
        <v>270</v>
      </c>
      <c r="P612" s="6" t="s">
        <v>271</v>
      </c>
      <c r="Q612" s="8" t="s">
        <v>45</v>
      </c>
      <c r="R612" s="10" t="s">
        <v>3673</v>
      </c>
      <c r="S612" s="11" t="s">
        <v>3674</v>
      </c>
      <c r="T612" s="6"/>
      <c r="U612" s="24" t="str">
        <f>HYPERLINK("https://media.infra-m.ru/2170/2170872/cover/2170872.jpg", "Обложка")</f>
        <v>Обложка</v>
      </c>
      <c r="V612" s="24" t="str">
        <f>HYPERLINK("https://znanium.ru/catalog/product/2170872", "Ознакомиться")</f>
        <v>Ознакомиться</v>
      </c>
      <c r="W612" s="8" t="s">
        <v>3675</v>
      </c>
      <c r="X612" s="6"/>
      <c r="Y612" s="6"/>
      <c r="Z612" s="6"/>
      <c r="AA612" s="6" t="s">
        <v>273</v>
      </c>
      <c r="AB612" s="8"/>
    </row>
    <row r="613" spans="1:28" s="4" customFormat="1" ht="51.95" customHeight="1">
      <c r="A613" s="5">
        <v>0</v>
      </c>
      <c r="B613" s="6" t="s">
        <v>3676</v>
      </c>
      <c r="C613" s="7">
        <v>1212</v>
      </c>
      <c r="D613" s="8" t="s">
        <v>3677</v>
      </c>
      <c r="E613" s="8" t="s">
        <v>3678</v>
      </c>
      <c r="F613" s="8" t="s">
        <v>3679</v>
      </c>
      <c r="G613" s="6" t="s">
        <v>62</v>
      </c>
      <c r="H613" s="6" t="s">
        <v>167</v>
      </c>
      <c r="I613" s="8"/>
      <c r="J613" s="9">
        <v>1</v>
      </c>
      <c r="K613" s="9">
        <v>240</v>
      </c>
      <c r="L613" s="9">
        <v>2022</v>
      </c>
      <c r="M613" s="8" t="s">
        <v>3680</v>
      </c>
      <c r="N613" s="8" t="s">
        <v>119</v>
      </c>
      <c r="O613" s="8" t="s">
        <v>270</v>
      </c>
      <c r="P613" s="6" t="s">
        <v>248</v>
      </c>
      <c r="Q613" s="8" t="s">
        <v>45</v>
      </c>
      <c r="R613" s="10" t="s">
        <v>3681</v>
      </c>
      <c r="S613" s="11"/>
      <c r="T613" s="6"/>
      <c r="U613" s="24" t="str">
        <f>HYPERLINK("https://media.infra-m.ru/1877/1877364/cover/1877364.jpg", "Обложка")</f>
        <v>Обложка</v>
      </c>
      <c r="V613" s="24" t="str">
        <f>HYPERLINK("https://znanium.ru/catalog/product/1877364", "Ознакомиться")</f>
        <v>Ознакомиться</v>
      </c>
      <c r="W613" s="8" t="s">
        <v>202</v>
      </c>
      <c r="X613" s="6"/>
      <c r="Y613" s="6"/>
      <c r="Z613" s="6"/>
      <c r="AA613" s="6" t="s">
        <v>57</v>
      </c>
      <c r="AB613" s="8"/>
    </row>
    <row r="614" spans="1:28" s="4" customFormat="1" ht="51.95" customHeight="1">
      <c r="A614" s="5">
        <v>0</v>
      </c>
      <c r="B614" s="6" t="s">
        <v>3682</v>
      </c>
      <c r="C614" s="13">
        <v>713.9</v>
      </c>
      <c r="D614" s="8" t="s">
        <v>3683</v>
      </c>
      <c r="E614" s="8" t="s">
        <v>3684</v>
      </c>
      <c r="F614" s="8" t="s">
        <v>3685</v>
      </c>
      <c r="G614" s="6" t="s">
        <v>38</v>
      </c>
      <c r="H614" s="6" t="s">
        <v>39</v>
      </c>
      <c r="I614" s="8" t="s">
        <v>40</v>
      </c>
      <c r="J614" s="9">
        <v>1</v>
      </c>
      <c r="K614" s="9">
        <v>172</v>
      </c>
      <c r="L614" s="9">
        <v>2019</v>
      </c>
      <c r="M614" s="8" t="s">
        <v>3686</v>
      </c>
      <c r="N614" s="8" t="s">
        <v>42</v>
      </c>
      <c r="O614" s="8" t="s">
        <v>72</v>
      </c>
      <c r="P614" s="6" t="s">
        <v>44</v>
      </c>
      <c r="Q614" s="8" t="s">
        <v>45</v>
      </c>
      <c r="R614" s="10" t="s">
        <v>3687</v>
      </c>
      <c r="S614" s="11"/>
      <c r="T614" s="6"/>
      <c r="U614" s="24" t="str">
        <f>HYPERLINK("https://media.infra-m.ru/0992/0992568/cover/992568.jpg", "Обложка")</f>
        <v>Обложка</v>
      </c>
      <c r="V614" s="24" t="str">
        <f>HYPERLINK("https://znanium.ru/catalog/product/1981600", "Ознакомиться")</f>
        <v>Ознакомиться</v>
      </c>
      <c r="W614" s="8" t="s">
        <v>760</v>
      </c>
      <c r="X614" s="6"/>
      <c r="Y614" s="6"/>
      <c r="Z614" s="6"/>
      <c r="AA614" s="6" t="s">
        <v>183</v>
      </c>
      <c r="AB614" s="8"/>
    </row>
    <row r="615" spans="1:28" s="4" customFormat="1" ht="51.95" customHeight="1">
      <c r="A615" s="5">
        <v>0</v>
      </c>
      <c r="B615" s="6" t="s">
        <v>3688</v>
      </c>
      <c r="C615" s="7">
        <v>1085.9000000000001</v>
      </c>
      <c r="D615" s="8" t="s">
        <v>3689</v>
      </c>
      <c r="E615" s="8" t="s">
        <v>3690</v>
      </c>
      <c r="F615" s="8" t="s">
        <v>1206</v>
      </c>
      <c r="G615" s="6" t="s">
        <v>38</v>
      </c>
      <c r="H615" s="6" t="s">
        <v>39</v>
      </c>
      <c r="I615" s="8" t="s">
        <v>40</v>
      </c>
      <c r="J615" s="9">
        <v>1</v>
      </c>
      <c r="K615" s="9">
        <v>201</v>
      </c>
      <c r="L615" s="9">
        <v>2023</v>
      </c>
      <c r="M615" s="8" t="s">
        <v>3691</v>
      </c>
      <c r="N615" s="8" t="s">
        <v>42</v>
      </c>
      <c r="O615" s="8" t="s">
        <v>72</v>
      </c>
      <c r="P615" s="6" t="s">
        <v>44</v>
      </c>
      <c r="Q615" s="8" t="s">
        <v>45</v>
      </c>
      <c r="R615" s="10" t="s">
        <v>3687</v>
      </c>
      <c r="S615" s="11"/>
      <c r="T615" s="6"/>
      <c r="U615" s="24" t="str">
        <f>HYPERLINK("https://media.infra-m.ru/1981/1981600/cover/1981600.jpg", "Обложка")</f>
        <v>Обложка</v>
      </c>
      <c r="V615" s="24" t="str">
        <f>HYPERLINK("https://znanium.ru/catalog/product/1981600", "Ознакомиться")</f>
        <v>Ознакомиться</v>
      </c>
      <c r="W615" s="8" t="s">
        <v>760</v>
      </c>
      <c r="X615" s="6"/>
      <c r="Y615" s="6"/>
      <c r="Z615" s="6"/>
      <c r="AA615" s="6" t="s">
        <v>412</v>
      </c>
      <c r="AB615" s="8"/>
    </row>
    <row r="616" spans="1:28" s="4" customFormat="1" ht="51.95" customHeight="1">
      <c r="A616" s="5">
        <v>0</v>
      </c>
      <c r="B616" s="6" t="s">
        <v>3692</v>
      </c>
      <c r="C616" s="13">
        <v>504</v>
      </c>
      <c r="D616" s="8" t="s">
        <v>3693</v>
      </c>
      <c r="E616" s="8" t="s">
        <v>3694</v>
      </c>
      <c r="F616" s="8" t="s">
        <v>1103</v>
      </c>
      <c r="G616" s="6" t="s">
        <v>38</v>
      </c>
      <c r="H616" s="6" t="s">
        <v>39</v>
      </c>
      <c r="I616" s="8" t="s">
        <v>40</v>
      </c>
      <c r="J616" s="9">
        <v>1</v>
      </c>
      <c r="K616" s="9">
        <v>123</v>
      </c>
      <c r="L616" s="9">
        <v>2020</v>
      </c>
      <c r="M616" s="8" t="s">
        <v>3695</v>
      </c>
      <c r="N616" s="8" t="s">
        <v>42</v>
      </c>
      <c r="O616" s="8" t="s">
        <v>72</v>
      </c>
      <c r="P616" s="6" t="s">
        <v>44</v>
      </c>
      <c r="Q616" s="8" t="s">
        <v>45</v>
      </c>
      <c r="R616" s="10" t="s">
        <v>3687</v>
      </c>
      <c r="S616" s="11"/>
      <c r="T616" s="6"/>
      <c r="U616" s="24" t="str">
        <f>HYPERLINK("https://media.infra-m.ru/1036/1036510/cover/1036510.jpg", "Обложка")</f>
        <v>Обложка</v>
      </c>
      <c r="V616" s="24" t="str">
        <f>HYPERLINK("https://znanium.ru/catalog/product/1036510", "Ознакомиться")</f>
        <v>Ознакомиться</v>
      </c>
      <c r="W616" s="8" t="s">
        <v>293</v>
      </c>
      <c r="X616" s="6"/>
      <c r="Y616" s="6"/>
      <c r="Z616" s="6"/>
      <c r="AA616" s="6" t="s">
        <v>470</v>
      </c>
      <c r="AB616" s="8"/>
    </row>
    <row r="617" spans="1:28" s="4" customFormat="1" ht="42" customHeight="1">
      <c r="A617" s="5">
        <v>0</v>
      </c>
      <c r="B617" s="6" t="s">
        <v>3696</v>
      </c>
      <c r="C617" s="13">
        <v>928.8</v>
      </c>
      <c r="D617" s="8" t="s">
        <v>3697</v>
      </c>
      <c r="E617" s="8" t="s">
        <v>3698</v>
      </c>
      <c r="F617" s="8" t="s">
        <v>291</v>
      </c>
      <c r="G617" s="6" t="s">
        <v>38</v>
      </c>
      <c r="H617" s="6" t="s">
        <v>39</v>
      </c>
      <c r="I617" s="8" t="s">
        <v>40</v>
      </c>
      <c r="J617" s="9">
        <v>1</v>
      </c>
      <c r="K617" s="9">
        <v>145</v>
      </c>
      <c r="L617" s="9">
        <v>2023</v>
      </c>
      <c r="M617" s="8" t="s">
        <v>3699</v>
      </c>
      <c r="N617" s="8" t="s">
        <v>42</v>
      </c>
      <c r="O617" s="8" t="s">
        <v>72</v>
      </c>
      <c r="P617" s="6" t="s">
        <v>44</v>
      </c>
      <c r="Q617" s="8" t="s">
        <v>45</v>
      </c>
      <c r="R617" s="10" t="s">
        <v>127</v>
      </c>
      <c r="S617" s="11"/>
      <c r="T617" s="6"/>
      <c r="U617" s="24" t="str">
        <f>HYPERLINK("https://media.infra-m.ru/1964/1964963/cover/1964963.jpg", "Обложка")</f>
        <v>Обложка</v>
      </c>
      <c r="V617" s="24" t="str">
        <f>HYPERLINK("https://znanium.ru/catalog/product/1964963", "Ознакомиться")</f>
        <v>Ознакомиться</v>
      </c>
      <c r="W617" s="8" t="s">
        <v>293</v>
      </c>
      <c r="X617" s="6"/>
      <c r="Y617" s="6"/>
      <c r="Z617" s="6"/>
      <c r="AA617" s="6" t="s">
        <v>391</v>
      </c>
      <c r="AB617" s="8"/>
    </row>
    <row r="618" spans="1:28" s="4" customFormat="1" ht="42" customHeight="1">
      <c r="A618" s="5">
        <v>0</v>
      </c>
      <c r="B618" s="6" t="s">
        <v>3700</v>
      </c>
      <c r="C618" s="7">
        <v>1008</v>
      </c>
      <c r="D618" s="8" t="s">
        <v>3701</v>
      </c>
      <c r="E618" s="8" t="s">
        <v>3702</v>
      </c>
      <c r="F618" s="8" t="s">
        <v>3703</v>
      </c>
      <c r="G618" s="6" t="s">
        <v>38</v>
      </c>
      <c r="H618" s="6" t="s">
        <v>39</v>
      </c>
      <c r="I618" s="8" t="s">
        <v>40</v>
      </c>
      <c r="J618" s="9">
        <v>1</v>
      </c>
      <c r="K618" s="9">
        <v>178</v>
      </c>
      <c r="L618" s="9">
        <v>2024</v>
      </c>
      <c r="M618" s="8" t="s">
        <v>3704</v>
      </c>
      <c r="N618" s="8" t="s">
        <v>42</v>
      </c>
      <c r="O618" s="8" t="s">
        <v>43</v>
      </c>
      <c r="P618" s="6" t="s">
        <v>44</v>
      </c>
      <c r="Q618" s="8" t="s">
        <v>45</v>
      </c>
      <c r="R618" s="10" t="s">
        <v>518</v>
      </c>
      <c r="S618" s="11"/>
      <c r="T618" s="6"/>
      <c r="U618" s="24" t="str">
        <f>HYPERLINK("https://media.infra-m.ru/2147/2147909/cover/2147909.jpg", "Обложка")</f>
        <v>Обложка</v>
      </c>
      <c r="V618" s="24" t="str">
        <f>HYPERLINK("https://znanium.ru/catalog/product/2147909", "Ознакомиться")</f>
        <v>Ознакомиться</v>
      </c>
      <c r="W618" s="8" t="s">
        <v>3705</v>
      </c>
      <c r="X618" s="6"/>
      <c r="Y618" s="6"/>
      <c r="Z618" s="6"/>
      <c r="AA618" s="6" t="s">
        <v>391</v>
      </c>
      <c r="AB618" s="8"/>
    </row>
    <row r="619" spans="1:28" s="4" customFormat="1" ht="44.1" customHeight="1">
      <c r="A619" s="5">
        <v>0</v>
      </c>
      <c r="B619" s="6" t="s">
        <v>3706</v>
      </c>
      <c r="C619" s="13">
        <v>904.8</v>
      </c>
      <c r="D619" s="8" t="s">
        <v>3707</v>
      </c>
      <c r="E619" s="8" t="s">
        <v>3708</v>
      </c>
      <c r="F619" s="8" t="s">
        <v>3709</v>
      </c>
      <c r="G619" s="6" t="s">
        <v>38</v>
      </c>
      <c r="H619" s="6" t="s">
        <v>466</v>
      </c>
      <c r="I619" s="8"/>
      <c r="J619" s="9">
        <v>1</v>
      </c>
      <c r="K619" s="9">
        <v>136</v>
      </c>
      <c r="L619" s="9">
        <v>2026</v>
      </c>
      <c r="M619" s="8" t="s">
        <v>3710</v>
      </c>
      <c r="N619" s="8" t="s">
        <v>42</v>
      </c>
      <c r="O619" s="8" t="s">
        <v>104</v>
      </c>
      <c r="P619" s="6" t="s">
        <v>44</v>
      </c>
      <c r="Q619" s="8" t="s">
        <v>784</v>
      </c>
      <c r="R619" s="10" t="s">
        <v>3711</v>
      </c>
      <c r="S619" s="11"/>
      <c r="T619" s="6"/>
      <c r="U619" s="24" t="str">
        <f>HYPERLINK("https://media.infra-m.ru/2226/2226829/cover/2226829.jpg", "Обложка")</f>
        <v>Обложка</v>
      </c>
      <c r="V619" s="24" t="str">
        <f>HYPERLINK("https://znanium.ru/catalog/product/1854956", "Ознакомиться")</f>
        <v>Ознакомиться</v>
      </c>
      <c r="W619" s="8" t="s">
        <v>820</v>
      </c>
      <c r="X619" s="6"/>
      <c r="Y619" s="6"/>
      <c r="Z619" s="6"/>
      <c r="AA619" s="6" t="s">
        <v>273</v>
      </c>
      <c r="AB619" s="8"/>
    </row>
    <row r="620" spans="1:28" s="4" customFormat="1" ht="51.95" customHeight="1">
      <c r="A620" s="5">
        <v>0</v>
      </c>
      <c r="B620" s="6" t="s">
        <v>3712</v>
      </c>
      <c r="C620" s="7">
        <v>3656.4</v>
      </c>
      <c r="D620" s="8" t="s">
        <v>3713</v>
      </c>
      <c r="E620" s="8" t="s">
        <v>3714</v>
      </c>
      <c r="F620" s="8" t="s">
        <v>3715</v>
      </c>
      <c r="G620" s="6" t="s">
        <v>62</v>
      </c>
      <c r="H620" s="6" t="s">
        <v>3556</v>
      </c>
      <c r="I620" s="8"/>
      <c r="J620" s="9">
        <v>1</v>
      </c>
      <c r="K620" s="9">
        <v>608</v>
      </c>
      <c r="L620" s="9">
        <v>2025</v>
      </c>
      <c r="M620" s="8" t="s">
        <v>3716</v>
      </c>
      <c r="N620" s="8" t="s">
        <v>119</v>
      </c>
      <c r="O620" s="8" t="s">
        <v>270</v>
      </c>
      <c r="P620" s="6" t="s">
        <v>271</v>
      </c>
      <c r="Q620" s="8" t="s">
        <v>45</v>
      </c>
      <c r="R620" s="10" t="s">
        <v>1643</v>
      </c>
      <c r="S620" s="11"/>
      <c r="T620" s="6"/>
      <c r="U620" s="24" t="str">
        <f>HYPERLINK("https://media.infra-m.ru/2169/2169279/cover/2169279.jpg", "Обложка")</f>
        <v>Обложка</v>
      </c>
      <c r="V620" s="24" t="str">
        <f>HYPERLINK("https://znanium.ru/catalog/product/1937940", "Ознакомиться")</f>
        <v>Ознакомиться</v>
      </c>
      <c r="W620" s="8" t="s">
        <v>358</v>
      </c>
      <c r="X620" s="6"/>
      <c r="Y620" s="6"/>
      <c r="Z620" s="6"/>
      <c r="AA620" s="6" t="s">
        <v>551</v>
      </c>
      <c r="AB620" s="8"/>
    </row>
    <row r="621" spans="1:28" s="4" customFormat="1" ht="51.95" customHeight="1">
      <c r="A621" s="5">
        <v>0</v>
      </c>
      <c r="B621" s="6" t="s">
        <v>3717</v>
      </c>
      <c r="C621" s="7">
        <v>1144.8</v>
      </c>
      <c r="D621" s="8" t="s">
        <v>3718</v>
      </c>
      <c r="E621" s="8" t="s">
        <v>3719</v>
      </c>
      <c r="F621" s="8" t="s">
        <v>3720</v>
      </c>
      <c r="G621" s="6" t="s">
        <v>38</v>
      </c>
      <c r="H621" s="6" t="s">
        <v>39</v>
      </c>
      <c r="I621" s="8" t="s">
        <v>40</v>
      </c>
      <c r="J621" s="9">
        <v>1</v>
      </c>
      <c r="K621" s="9">
        <v>183</v>
      </c>
      <c r="L621" s="9">
        <v>2025</v>
      </c>
      <c r="M621" s="8" t="s">
        <v>3721</v>
      </c>
      <c r="N621" s="8" t="s">
        <v>144</v>
      </c>
      <c r="O621" s="8" t="s">
        <v>145</v>
      </c>
      <c r="P621" s="6" t="s">
        <v>44</v>
      </c>
      <c r="Q621" s="8" t="s">
        <v>45</v>
      </c>
      <c r="R621" s="10" t="s">
        <v>3722</v>
      </c>
      <c r="S621" s="11"/>
      <c r="T621" s="6"/>
      <c r="U621" s="24" t="str">
        <f>HYPERLINK("https://media.infra-m.ru/2209/2209478/cover/2209478.jpg", "Обложка")</f>
        <v>Обложка</v>
      </c>
      <c r="V621" s="24" t="str">
        <f>HYPERLINK("https://znanium.ru/catalog/product/1971849", "Ознакомиться")</f>
        <v>Ознакомиться</v>
      </c>
      <c r="W621" s="8" t="s">
        <v>594</v>
      </c>
      <c r="X621" s="6"/>
      <c r="Y621" s="6"/>
      <c r="Z621" s="6"/>
      <c r="AA621" s="6" t="s">
        <v>91</v>
      </c>
      <c r="AB621" s="8"/>
    </row>
    <row r="622" spans="1:28" s="4" customFormat="1" ht="51.95" customHeight="1">
      <c r="A622" s="5">
        <v>0</v>
      </c>
      <c r="B622" s="6" t="s">
        <v>3723</v>
      </c>
      <c r="C622" s="7">
        <v>3720</v>
      </c>
      <c r="D622" s="8" t="s">
        <v>3724</v>
      </c>
      <c r="E622" s="8" t="s">
        <v>3725</v>
      </c>
      <c r="F622" s="8" t="s">
        <v>578</v>
      </c>
      <c r="G622" s="6" t="s">
        <v>96</v>
      </c>
      <c r="H622" s="6" t="s">
        <v>39</v>
      </c>
      <c r="I622" s="8" t="s">
        <v>340</v>
      </c>
      <c r="J622" s="9">
        <v>1</v>
      </c>
      <c r="K622" s="9">
        <v>630</v>
      </c>
      <c r="L622" s="9">
        <v>2025</v>
      </c>
      <c r="M622" s="8" t="s">
        <v>3726</v>
      </c>
      <c r="N622" s="8" t="s">
        <v>42</v>
      </c>
      <c r="O622" s="8" t="s">
        <v>72</v>
      </c>
      <c r="P622" s="6" t="s">
        <v>271</v>
      </c>
      <c r="Q622" s="8" t="s">
        <v>45</v>
      </c>
      <c r="R622" s="10" t="s">
        <v>3727</v>
      </c>
      <c r="S622" s="11"/>
      <c r="T622" s="6"/>
      <c r="U622" s="24" t="str">
        <f>HYPERLINK("https://media.infra-m.ru/2161/2161245/cover/2161245.jpg", "Обложка")</f>
        <v>Обложка</v>
      </c>
      <c r="V622" s="24" t="str">
        <f>HYPERLINK("https://znanium.ru/catalog/product/2161245", "Ознакомиться")</f>
        <v>Ознакомиться</v>
      </c>
      <c r="W622" s="8" t="s">
        <v>582</v>
      </c>
      <c r="X622" s="6"/>
      <c r="Y622" s="6"/>
      <c r="Z622" s="6"/>
      <c r="AA622" s="6" t="s">
        <v>213</v>
      </c>
      <c r="AB622" s="8" t="s">
        <v>130</v>
      </c>
    </row>
    <row r="623" spans="1:28" s="4" customFormat="1" ht="33" customHeight="1">
      <c r="A623" s="5">
        <v>0</v>
      </c>
      <c r="B623" s="6" t="s">
        <v>3728</v>
      </c>
      <c r="C623" s="7">
        <v>1727.9</v>
      </c>
      <c r="D623" s="8" t="s">
        <v>3729</v>
      </c>
      <c r="E623" s="8" t="s">
        <v>3730</v>
      </c>
      <c r="F623" s="8" t="s">
        <v>3731</v>
      </c>
      <c r="G623" s="6" t="s">
        <v>96</v>
      </c>
      <c r="H623" s="6" t="s">
        <v>167</v>
      </c>
      <c r="I623" s="8"/>
      <c r="J623" s="9">
        <v>1</v>
      </c>
      <c r="K623" s="9">
        <v>448</v>
      </c>
      <c r="L623" s="9">
        <v>2019</v>
      </c>
      <c r="M623" s="8" t="s">
        <v>3732</v>
      </c>
      <c r="N623" s="8" t="s">
        <v>119</v>
      </c>
      <c r="O623" s="8" t="s">
        <v>120</v>
      </c>
      <c r="P623" s="6" t="s">
        <v>179</v>
      </c>
      <c r="Q623" s="8" t="s">
        <v>45</v>
      </c>
      <c r="R623" s="10" t="s">
        <v>3733</v>
      </c>
      <c r="S623" s="11"/>
      <c r="T623" s="6"/>
      <c r="U623" s="12"/>
      <c r="V623" s="24" t="str">
        <f>HYPERLINK("https://znanium.ru/catalog/product/2223989", "Ознакомиться")</f>
        <v>Ознакомиться</v>
      </c>
      <c r="W623" s="8"/>
      <c r="X623" s="6"/>
      <c r="Y623" s="6"/>
      <c r="Z623" s="6"/>
      <c r="AA623" s="6" t="s">
        <v>3734</v>
      </c>
      <c r="AB623" s="8"/>
    </row>
    <row r="624" spans="1:28" s="4" customFormat="1" ht="42" customHeight="1">
      <c r="A624" s="5">
        <v>0</v>
      </c>
      <c r="B624" s="6" t="s">
        <v>3735</v>
      </c>
      <c r="C624" s="7">
        <v>2952</v>
      </c>
      <c r="D624" s="8" t="s">
        <v>3736</v>
      </c>
      <c r="E624" s="8" t="s">
        <v>3737</v>
      </c>
      <c r="F624" s="8" t="s">
        <v>3738</v>
      </c>
      <c r="G624" s="6" t="s">
        <v>96</v>
      </c>
      <c r="H624" s="6" t="s">
        <v>167</v>
      </c>
      <c r="I624" s="8"/>
      <c r="J624" s="9">
        <v>1</v>
      </c>
      <c r="K624" s="9">
        <v>472</v>
      </c>
      <c r="L624" s="9">
        <v>2025</v>
      </c>
      <c r="M624" s="8" t="s">
        <v>3739</v>
      </c>
      <c r="N624" s="8" t="s">
        <v>119</v>
      </c>
      <c r="O624" s="8" t="s">
        <v>120</v>
      </c>
      <c r="P624" s="6" t="s">
        <v>179</v>
      </c>
      <c r="Q624" s="8" t="s">
        <v>45</v>
      </c>
      <c r="R624" s="10" t="s">
        <v>3733</v>
      </c>
      <c r="S624" s="11"/>
      <c r="T624" s="6"/>
      <c r="U624" s="24" t="str">
        <f>HYPERLINK("https://media.infra-m.ru/2197/2197866/cover/2197866.jpg", "Обложка")</f>
        <v>Обложка</v>
      </c>
      <c r="V624" s="24" t="str">
        <f>HYPERLINK("https://znanium.ru/catalog/product/2223989", "Ознакомиться")</f>
        <v>Ознакомиться</v>
      </c>
      <c r="W624" s="8"/>
      <c r="X624" s="6"/>
      <c r="Y624" s="6"/>
      <c r="Z624" s="6"/>
      <c r="AA624" s="6" t="s">
        <v>3740</v>
      </c>
      <c r="AB624" s="8"/>
    </row>
    <row r="625" spans="1:28" s="4" customFormat="1" ht="44.1" customHeight="1">
      <c r="A625" s="5">
        <v>0</v>
      </c>
      <c r="B625" s="6" t="s">
        <v>3741</v>
      </c>
      <c r="C625" s="7">
        <v>3384</v>
      </c>
      <c r="D625" s="8" t="s">
        <v>3742</v>
      </c>
      <c r="E625" s="8" t="s">
        <v>3743</v>
      </c>
      <c r="F625" s="8" t="s">
        <v>3744</v>
      </c>
      <c r="G625" s="6" t="s">
        <v>96</v>
      </c>
      <c r="H625" s="6" t="s">
        <v>167</v>
      </c>
      <c r="I625" s="8"/>
      <c r="J625" s="9">
        <v>1</v>
      </c>
      <c r="K625" s="9">
        <v>512</v>
      </c>
      <c r="L625" s="9">
        <v>2026</v>
      </c>
      <c r="M625" s="8" t="s">
        <v>3745</v>
      </c>
      <c r="N625" s="8" t="s">
        <v>119</v>
      </c>
      <c r="O625" s="8" t="s">
        <v>120</v>
      </c>
      <c r="P625" s="6" t="s">
        <v>179</v>
      </c>
      <c r="Q625" s="8" t="s">
        <v>45</v>
      </c>
      <c r="R625" s="10" t="s">
        <v>3733</v>
      </c>
      <c r="S625" s="11"/>
      <c r="T625" s="6"/>
      <c r="U625" s="24" t="str">
        <f>HYPERLINK("https://media.infra-m.ru/2223/2223989/cover/2223989.jpg", "Обложка")</f>
        <v>Обложка</v>
      </c>
      <c r="V625" s="24" t="str">
        <f>HYPERLINK("https://znanium.ru/catalog/product/2223989", "Ознакомиться")</f>
        <v>Ознакомиться</v>
      </c>
      <c r="W625" s="8" t="s">
        <v>1391</v>
      </c>
      <c r="X625" s="6"/>
      <c r="Y625" s="6"/>
      <c r="Z625" s="6"/>
      <c r="AA625" s="6" t="s">
        <v>3746</v>
      </c>
      <c r="AB625" s="8"/>
    </row>
    <row r="626" spans="1:28" s="4" customFormat="1" ht="51.95" customHeight="1">
      <c r="A626" s="5">
        <v>0</v>
      </c>
      <c r="B626" s="6" t="s">
        <v>3747</v>
      </c>
      <c r="C626" s="7">
        <v>1072.8</v>
      </c>
      <c r="D626" s="8" t="s">
        <v>3748</v>
      </c>
      <c r="E626" s="8" t="s">
        <v>3749</v>
      </c>
      <c r="F626" s="8" t="s">
        <v>3750</v>
      </c>
      <c r="G626" s="6" t="s">
        <v>62</v>
      </c>
      <c r="H626" s="6" t="s">
        <v>167</v>
      </c>
      <c r="I626" s="8"/>
      <c r="J626" s="9">
        <v>1</v>
      </c>
      <c r="K626" s="9">
        <v>160</v>
      </c>
      <c r="L626" s="9">
        <v>2025</v>
      </c>
      <c r="M626" s="8" t="s">
        <v>3751</v>
      </c>
      <c r="N626" s="8" t="s">
        <v>119</v>
      </c>
      <c r="O626" s="8" t="s">
        <v>120</v>
      </c>
      <c r="P626" s="6" t="s">
        <v>179</v>
      </c>
      <c r="Q626" s="8" t="s">
        <v>45</v>
      </c>
      <c r="R626" s="10" t="s">
        <v>3752</v>
      </c>
      <c r="S626" s="11"/>
      <c r="T626" s="6"/>
      <c r="U626" s="24" t="str">
        <f>HYPERLINK("https://media.infra-m.ru/2186/2186920/cover/2186920.jpg", "Обложка")</f>
        <v>Обложка</v>
      </c>
      <c r="V626" s="24" t="str">
        <f>HYPERLINK("https://znanium.ru/catalog/product/2219517", "Ознакомиться")</f>
        <v>Ознакомиться</v>
      </c>
      <c r="W626" s="8"/>
      <c r="X626" s="6"/>
      <c r="Y626" s="6"/>
      <c r="Z626" s="6"/>
      <c r="AA626" s="6" t="s">
        <v>412</v>
      </c>
      <c r="AB626" s="8"/>
    </row>
    <row r="627" spans="1:28" s="4" customFormat="1" ht="51.95" customHeight="1">
      <c r="A627" s="5">
        <v>0</v>
      </c>
      <c r="B627" s="6" t="s">
        <v>3753</v>
      </c>
      <c r="C627" s="7">
        <v>1092</v>
      </c>
      <c r="D627" s="8" t="s">
        <v>3754</v>
      </c>
      <c r="E627" s="8" t="s">
        <v>3755</v>
      </c>
      <c r="F627" s="8" t="s">
        <v>3756</v>
      </c>
      <c r="G627" s="6" t="s">
        <v>62</v>
      </c>
      <c r="H627" s="6" t="s">
        <v>167</v>
      </c>
      <c r="I627" s="8"/>
      <c r="J627" s="9">
        <v>1</v>
      </c>
      <c r="K627" s="9">
        <v>164</v>
      </c>
      <c r="L627" s="9">
        <v>2026</v>
      </c>
      <c r="M627" s="8" t="s">
        <v>3757</v>
      </c>
      <c r="N627" s="8" t="s">
        <v>119</v>
      </c>
      <c r="O627" s="8" t="s">
        <v>120</v>
      </c>
      <c r="P627" s="6" t="s">
        <v>179</v>
      </c>
      <c r="Q627" s="8" t="s">
        <v>45</v>
      </c>
      <c r="R627" s="10" t="s">
        <v>3752</v>
      </c>
      <c r="S627" s="11"/>
      <c r="T627" s="6"/>
      <c r="U627" s="24" t="str">
        <f>HYPERLINK("https://media.infra-m.ru/2219/2219517/cover/2219517.jpg", "Обложка")</f>
        <v>Обложка</v>
      </c>
      <c r="V627" s="24" t="str">
        <f>HYPERLINK("https://znanium.ru/catalog/product/2219517", "Ознакомиться")</f>
        <v>Ознакомиться</v>
      </c>
      <c r="W627" s="8" t="s">
        <v>1391</v>
      </c>
      <c r="X627" s="6" t="s">
        <v>738</v>
      </c>
      <c r="Y627" s="6"/>
      <c r="Z627" s="6"/>
      <c r="AA627" s="6" t="s">
        <v>3758</v>
      </c>
      <c r="AB627" s="8"/>
    </row>
    <row r="628" spans="1:28" s="4" customFormat="1" ht="51.95" customHeight="1">
      <c r="A628" s="5">
        <v>0</v>
      </c>
      <c r="B628" s="6" t="s">
        <v>3759</v>
      </c>
      <c r="C628" s="13">
        <v>516</v>
      </c>
      <c r="D628" s="8" t="s">
        <v>3760</v>
      </c>
      <c r="E628" s="8" t="s">
        <v>3761</v>
      </c>
      <c r="F628" s="8" t="s">
        <v>3750</v>
      </c>
      <c r="G628" s="6" t="s">
        <v>38</v>
      </c>
      <c r="H628" s="6" t="s">
        <v>167</v>
      </c>
      <c r="I628" s="8"/>
      <c r="J628" s="9">
        <v>1</v>
      </c>
      <c r="K628" s="9">
        <v>128</v>
      </c>
      <c r="L628" s="9">
        <v>2019</v>
      </c>
      <c r="M628" s="8" t="s">
        <v>3762</v>
      </c>
      <c r="N628" s="8" t="s">
        <v>119</v>
      </c>
      <c r="O628" s="8" t="s">
        <v>120</v>
      </c>
      <c r="P628" s="6" t="s">
        <v>179</v>
      </c>
      <c r="Q628" s="8" t="s">
        <v>784</v>
      </c>
      <c r="R628" s="10" t="s">
        <v>3752</v>
      </c>
      <c r="S628" s="11"/>
      <c r="T628" s="6"/>
      <c r="U628" s="24" t="str">
        <f>HYPERLINK("https://media.infra-m.ru/0995/0995303/cover/995303.jpg", "Обложка")</f>
        <v>Обложка</v>
      </c>
      <c r="V628" s="24" t="str">
        <f>HYPERLINK("https://znanium.ru/catalog/product/2219517", "Ознакомиться")</f>
        <v>Ознакомиться</v>
      </c>
      <c r="W628" s="8" t="s">
        <v>1391</v>
      </c>
      <c r="X628" s="6"/>
      <c r="Y628" s="6"/>
      <c r="Z628" s="6"/>
      <c r="AA628" s="6" t="s">
        <v>227</v>
      </c>
      <c r="AB628" s="8"/>
    </row>
    <row r="629" spans="1:28" s="4" customFormat="1" ht="44.1" customHeight="1">
      <c r="A629" s="5">
        <v>0</v>
      </c>
      <c r="B629" s="6" t="s">
        <v>3763</v>
      </c>
      <c r="C629" s="7">
        <v>2592</v>
      </c>
      <c r="D629" s="8" t="s">
        <v>3764</v>
      </c>
      <c r="E629" s="8" t="s">
        <v>3765</v>
      </c>
      <c r="F629" s="8" t="s">
        <v>3766</v>
      </c>
      <c r="G629" s="6" t="s">
        <v>62</v>
      </c>
      <c r="H629" s="6" t="s">
        <v>167</v>
      </c>
      <c r="I629" s="8"/>
      <c r="J629" s="9">
        <v>1</v>
      </c>
      <c r="K629" s="9">
        <v>480</v>
      </c>
      <c r="L629" s="9">
        <v>2023</v>
      </c>
      <c r="M629" s="8" t="s">
        <v>3767</v>
      </c>
      <c r="N629" s="8" t="s">
        <v>119</v>
      </c>
      <c r="O629" s="8" t="s">
        <v>120</v>
      </c>
      <c r="P629" s="6" t="s">
        <v>179</v>
      </c>
      <c r="Q629" s="8" t="s">
        <v>45</v>
      </c>
      <c r="R629" s="10" t="s">
        <v>3768</v>
      </c>
      <c r="S629" s="11"/>
      <c r="T629" s="6"/>
      <c r="U629" s="24" t="str">
        <f>HYPERLINK("https://media.infra-m.ru/1895/1895986/cover/1895986.jpg", "Обложка")</f>
        <v>Обложка</v>
      </c>
      <c r="V629" s="24" t="str">
        <f>HYPERLINK("https://znanium.ru/catalog/product/2211214", "Ознакомиться")</f>
        <v>Ознакомиться</v>
      </c>
      <c r="W629" s="8" t="s">
        <v>1391</v>
      </c>
      <c r="X629" s="6"/>
      <c r="Y629" s="6"/>
      <c r="Z629" s="6"/>
      <c r="AA629" s="6" t="s">
        <v>208</v>
      </c>
      <c r="AB629" s="8"/>
    </row>
    <row r="630" spans="1:28" s="4" customFormat="1" ht="44.1" customHeight="1">
      <c r="A630" s="5">
        <v>0</v>
      </c>
      <c r="B630" s="6" t="s">
        <v>3769</v>
      </c>
      <c r="C630" s="7">
        <v>1560</v>
      </c>
      <c r="D630" s="8" t="s">
        <v>3770</v>
      </c>
      <c r="E630" s="8" t="s">
        <v>3771</v>
      </c>
      <c r="F630" s="8" t="s">
        <v>3766</v>
      </c>
      <c r="G630" s="6" t="s">
        <v>62</v>
      </c>
      <c r="H630" s="6" t="s">
        <v>167</v>
      </c>
      <c r="I630" s="8"/>
      <c r="J630" s="9">
        <v>1</v>
      </c>
      <c r="K630" s="9">
        <v>360</v>
      </c>
      <c r="L630" s="9">
        <v>2021</v>
      </c>
      <c r="M630" s="8" t="s">
        <v>3772</v>
      </c>
      <c r="N630" s="8" t="s">
        <v>119</v>
      </c>
      <c r="O630" s="8" t="s">
        <v>120</v>
      </c>
      <c r="P630" s="6" t="s">
        <v>179</v>
      </c>
      <c r="Q630" s="8" t="s">
        <v>45</v>
      </c>
      <c r="R630" s="10" t="s">
        <v>3768</v>
      </c>
      <c r="S630" s="11"/>
      <c r="T630" s="6"/>
      <c r="U630" s="24" t="str">
        <f>HYPERLINK("https://media.infra-m.ru/1248/1248241/cover/1248241.jpg", "Обложка")</f>
        <v>Обложка</v>
      </c>
      <c r="V630" s="24" t="str">
        <f>HYPERLINK("https://znanium.ru/catalog/product/2211214", "Ознакомиться")</f>
        <v>Ознакомиться</v>
      </c>
      <c r="W630" s="8" t="s">
        <v>1391</v>
      </c>
      <c r="X630" s="6"/>
      <c r="Y630" s="6"/>
      <c r="Z630" s="6"/>
      <c r="AA630" s="6" t="s">
        <v>391</v>
      </c>
      <c r="AB630" s="8"/>
    </row>
    <row r="631" spans="1:28" s="4" customFormat="1" ht="44.1" customHeight="1">
      <c r="A631" s="5">
        <v>0</v>
      </c>
      <c r="B631" s="6" t="s">
        <v>3773</v>
      </c>
      <c r="C631" s="7">
        <v>3396</v>
      </c>
      <c r="D631" s="8" t="s">
        <v>3774</v>
      </c>
      <c r="E631" s="8" t="s">
        <v>3775</v>
      </c>
      <c r="F631" s="8" t="s">
        <v>3776</v>
      </c>
      <c r="G631" s="6" t="s">
        <v>96</v>
      </c>
      <c r="H631" s="6" t="s">
        <v>167</v>
      </c>
      <c r="I631" s="8"/>
      <c r="J631" s="9">
        <v>1</v>
      </c>
      <c r="K631" s="9">
        <v>544</v>
      </c>
      <c r="L631" s="9">
        <v>2026</v>
      </c>
      <c r="M631" s="8" t="s">
        <v>3777</v>
      </c>
      <c r="N631" s="8" t="s">
        <v>119</v>
      </c>
      <c r="O631" s="8" t="s">
        <v>120</v>
      </c>
      <c r="P631" s="6" t="s">
        <v>179</v>
      </c>
      <c r="Q631" s="8" t="s">
        <v>45</v>
      </c>
      <c r="R631" s="10" t="s">
        <v>3768</v>
      </c>
      <c r="S631" s="11"/>
      <c r="T631" s="6"/>
      <c r="U631" s="24" t="str">
        <f>HYPERLINK("https://media.infra-m.ru/2211/2211214/cover/2211214.jpg", "Обложка")</f>
        <v>Обложка</v>
      </c>
      <c r="V631" s="24" t="str">
        <f>HYPERLINK("https://znanium.ru/catalog/product/2211214", "Ознакомиться")</f>
        <v>Ознакомиться</v>
      </c>
      <c r="W631" s="8" t="s">
        <v>1391</v>
      </c>
      <c r="X631" s="6" t="s">
        <v>359</v>
      </c>
      <c r="Y631" s="6"/>
      <c r="Z631" s="6"/>
      <c r="AA631" s="6" t="s">
        <v>3758</v>
      </c>
      <c r="AB631" s="8"/>
    </row>
    <row r="632" spans="1:28" s="4" customFormat="1" ht="51.95" customHeight="1">
      <c r="A632" s="5">
        <v>0</v>
      </c>
      <c r="B632" s="6" t="s">
        <v>3778</v>
      </c>
      <c r="C632" s="7">
        <v>3088.8</v>
      </c>
      <c r="D632" s="8" t="s">
        <v>3779</v>
      </c>
      <c r="E632" s="8" t="s">
        <v>3780</v>
      </c>
      <c r="F632" s="8" t="s">
        <v>3781</v>
      </c>
      <c r="G632" s="6" t="s">
        <v>62</v>
      </c>
      <c r="H632" s="6" t="s">
        <v>39</v>
      </c>
      <c r="I632" s="8" t="s">
        <v>152</v>
      </c>
      <c r="J632" s="9">
        <v>1</v>
      </c>
      <c r="K632" s="9">
        <v>494</v>
      </c>
      <c r="L632" s="9">
        <v>2025</v>
      </c>
      <c r="M632" s="8" t="s">
        <v>3782</v>
      </c>
      <c r="N632" s="8" t="s">
        <v>177</v>
      </c>
      <c r="O632" s="8" t="s">
        <v>734</v>
      </c>
      <c r="P632" s="6" t="s">
        <v>179</v>
      </c>
      <c r="Q632" s="8" t="s">
        <v>180</v>
      </c>
      <c r="R632" s="10" t="s">
        <v>3783</v>
      </c>
      <c r="S632" s="11"/>
      <c r="T632" s="6"/>
      <c r="U632" s="24" t="str">
        <f>HYPERLINK("https://media.infra-m.ru/2200/2200014/cover/2200014.jpg", "Обложка")</f>
        <v>Обложка</v>
      </c>
      <c r="V632" s="24" t="str">
        <f>HYPERLINK("https://znanium.ru/catalog/product/1287090", "Ознакомиться")</f>
        <v>Ознакомиться</v>
      </c>
      <c r="W632" s="8" t="s">
        <v>768</v>
      </c>
      <c r="X632" s="6"/>
      <c r="Y632" s="6" t="s">
        <v>30</v>
      </c>
      <c r="Z632" s="6"/>
      <c r="AA632" s="6" t="s">
        <v>3784</v>
      </c>
      <c r="AB632" s="8"/>
    </row>
    <row r="633" spans="1:28" s="4" customFormat="1" ht="51.95" customHeight="1">
      <c r="A633" s="5">
        <v>0</v>
      </c>
      <c r="B633" s="6" t="s">
        <v>3785</v>
      </c>
      <c r="C633" s="7">
        <v>2640</v>
      </c>
      <c r="D633" s="8" t="s">
        <v>3786</v>
      </c>
      <c r="E633" s="8" t="s">
        <v>3787</v>
      </c>
      <c r="F633" s="8" t="s">
        <v>3788</v>
      </c>
      <c r="G633" s="6" t="s">
        <v>96</v>
      </c>
      <c r="H633" s="6" t="s">
        <v>39</v>
      </c>
      <c r="I633" s="8" t="s">
        <v>152</v>
      </c>
      <c r="J633" s="9">
        <v>1</v>
      </c>
      <c r="K633" s="9">
        <v>424</v>
      </c>
      <c r="L633" s="9">
        <v>2025</v>
      </c>
      <c r="M633" s="8" t="s">
        <v>3789</v>
      </c>
      <c r="N633" s="8" t="s">
        <v>119</v>
      </c>
      <c r="O633" s="8" t="s">
        <v>432</v>
      </c>
      <c r="P633" s="6" t="s">
        <v>179</v>
      </c>
      <c r="Q633" s="8" t="s">
        <v>45</v>
      </c>
      <c r="R633" s="10" t="s">
        <v>3790</v>
      </c>
      <c r="S633" s="11"/>
      <c r="T633" s="6"/>
      <c r="U633" s="24" t="str">
        <f>HYPERLINK("https://media.infra-m.ru/2207/2207146/cover/2207146.jpg", "Обложка")</f>
        <v>Обложка</v>
      </c>
      <c r="V633" s="24" t="str">
        <f>HYPERLINK("https://znanium.ru/catalog/product/2207146", "Ознакомиться")</f>
        <v>Ознакомиться</v>
      </c>
      <c r="W633" s="8" t="s">
        <v>309</v>
      </c>
      <c r="X633" s="6"/>
      <c r="Y633" s="6"/>
      <c r="Z633" s="6"/>
      <c r="AA633" s="6" t="s">
        <v>213</v>
      </c>
      <c r="AB633" s="8"/>
    </row>
    <row r="634" spans="1:28" s="4" customFormat="1" ht="51.95" customHeight="1">
      <c r="A634" s="5">
        <v>0</v>
      </c>
      <c r="B634" s="6" t="s">
        <v>3791</v>
      </c>
      <c r="C634" s="7">
        <v>1764</v>
      </c>
      <c r="D634" s="8" t="s">
        <v>3792</v>
      </c>
      <c r="E634" s="8" t="s">
        <v>3793</v>
      </c>
      <c r="F634" s="8" t="s">
        <v>3794</v>
      </c>
      <c r="G634" s="6" t="s">
        <v>62</v>
      </c>
      <c r="H634" s="6" t="s">
        <v>39</v>
      </c>
      <c r="I634" s="8" t="s">
        <v>678</v>
      </c>
      <c r="J634" s="9">
        <v>1</v>
      </c>
      <c r="K634" s="9">
        <v>262</v>
      </c>
      <c r="L634" s="9">
        <v>2026</v>
      </c>
      <c r="M634" s="8" t="s">
        <v>3795</v>
      </c>
      <c r="N634" s="8" t="s">
        <v>177</v>
      </c>
      <c r="O634" s="8" t="s">
        <v>178</v>
      </c>
      <c r="P634" s="6" t="s">
        <v>179</v>
      </c>
      <c r="Q634" s="8" t="s">
        <v>680</v>
      </c>
      <c r="R634" s="10" t="s">
        <v>3796</v>
      </c>
      <c r="S634" s="11"/>
      <c r="T634" s="6"/>
      <c r="U634" s="24" t="str">
        <f>HYPERLINK("https://media.infra-m.ru/2224/2224064/cover/2224064.jpg", "Обложка")</f>
        <v>Обложка</v>
      </c>
      <c r="V634" s="24" t="str">
        <f>HYPERLINK("https://znanium.ru/catalog/product/2224064", "Ознакомиться")</f>
        <v>Ознакомиться</v>
      </c>
      <c r="W634" s="8" t="s">
        <v>156</v>
      </c>
      <c r="X634" s="6"/>
      <c r="Y634" s="6"/>
      <c r="Z634" s="6"/>
      <c r="AA634" s="6" t="s">
        <v>1167</v>
      </c>
      <c r="AB634" s="8"/>
    </row>
    <row r="635" spans="1:28" s="4" customFormat="1" ht="42" customHeight="1">
      <c r="A635" s="5">
        <v>0</v>
      </c>
      <c r="B635" s="6" t="s">
        <v>3797</v>
      </c>
      <c r="C635" s="7">
        <v>2032.8</v>
      </c>
      <c r="D635" s="8" t="s">
        <v>3798</v>
      </c>
      <c r="E635" s="8" t="s">
        <v>3799</v>
      </c>
      <c r="F635" s="8"/>
      <c r="G635" s="6" t="s">
        <v>38</v>
      </c>
      <c r="H635" s="6" t="s">
        <v>39</v>
      </c>
      <c r="I635" s="8"/>
      <c r="J635" s="9">
        <v>30</v>
      </c>
      <c r="K635" s="9">
        <v>42</v>
      </c>
      <c r="L635" s="9">
        <v>2024</v>
      </c>
      <c r="M635" s="8"/>
      <c r="N635" s="8" t="s">
        <v>144</v>
      </c>
      <c r="O635" s="8" t="s">
        <v>145</v>
      </c>
      <c r="P635" s="6" t="s">
        <v>121</v>
      </c>
      <c r="Q635" s="8"/>
      <c r="R635" s="10"/>
      <c r="S635" s="11"/>
      <c r="T635" s="6"/>
      <c r="U635" s="24" t="str">
        <f>HYPERLINK("https://media.infra-m.ru/2081/2081600/cover/2081600.jpg", "Обложка")</f>
        <v>Обложка</v>
      </c>
      <c r="V635" s="24" t="str">
        <f>HYPERLINK("https://znanium.ru/catalog/product/2174167", "Ознакомиться")</f>
        <v>Ознакомиться</v>
      </c>
      <c r="W635" s="8"/>
      <c r="X635" s="6"/>
      <c r="Y635" s="6"/>
      <c r="Z635" s="6"/>
      <c r="AA635" s="6" t="s">
        <v>157</v>
      </c>
      <c r="AB635" s="8"/>
    </row>
    <row r="636" spans="1:28" s="4" customFormat="1" ht="42" customHeight="1">
      <c r="A636" s="5">
        <v>0</v>
      </c>
      <c r="B636" s="6" t="s">
        <v>3800</v>
      </c>
      <c r="C636" s="7">
        <v>2032.8</v>
      </c>
      <c r="D636" s="8" t="s">
        <v>3801</v>
      </c>
      <c r="E636" s="8" t="s">
        <v>3802</v>
      </c>
      <c r="F636" s="8"/>
      <c r="G636" s="6" t="s">
        <v>38</v>
      </c>
      <c r="H636" s="6" t="s">
        <v>39</v>
      </c>
      <c r="I636" s="8"/>
      <c r="J636" s="9">
        <v>1</v>
      </c>
      <c r="K636" s="9">
        <v>65</v>
      </c>
      <c r="L636" s="9">
        <v>2025</v>
      </c>
      <c r="M636" s="8"/>
      <c r="N636" s="8" t="s">
        <v>144</v>
      </c>
      <c r="O636" s="8" t="s">
        <v>145</v>
      </c>
      <c r="P636" s="6" t="s">
        <v>121</v>
      </c>
      <c r="Q636" s="8"/>
      <c r="R636" s="10"/>
      <c r="S636" s="11"/>
      <c r="T636" s="6"/>
      <c r="U636" s="24" t="str">
        <f>HYPERLINK("https://media.infra-m.ru/2174/2174168/cover/2174168.jpg", "Обложка")</f>
        <v>Обложка</v>
      </c>
      <c r="V636" s="24" t="str">
        <f>HYPERLINK("https://znanium.ru/catalog/product/2174167", "Ознакомиться")</f>
        <v>Ознакомиться</v>
      </c>
      <c r="W636" s="8"/>
      <c r="X636" s="6" t="s">
        <v>436</v>
      </c>
      <c r="Y636" s="6"/>
      <c r="Z636" s="6"/>
      <c r="AA636" s="6" t="s">
        <v>264</v>
      </c>
      <c r="AB636" s="8"/>
    </row>
    <row r="637" spans="1:28" s="4" customFormat="1" ht="51.95" customHeight="1">
      <c r="A637" s="5">
        <v>0</v>
      </c>
      <c r="B637" s="6" t="s">
        <v>3803</v>
      </c>
      <c r="C637" s="7">
        <v>1272</v>
      </c>
      <c r="D637" s="8" t="s">
        <v>3804</v>
      </c>
      <c r="E637" s="8" t="s">
        <v>3805</v>
      </c>
      <c r="F637" s="8" t="s">
        <v>3806</v>
      </c>
      <c r="G637" s="6" t="s">
        <v>38</v>
      </c>
      <c r="H637" s="6" t="s">
        <v>118</v>
      </c>
      <c r="I637" s="8" t="s">
        <v>40</v>
      </c>
      <c r="J637" s="9">
        <v>1</v>
      </c>
      <c r="K637" s="9">
        <v>204</v>
      </c>
      <c r="L637" s="9">
        <v>2025</v>
      </c>
      <c r="M637" s="8" t="s">
        <v>3807</v>
      </c>
      <c r="N637" s="8" t="s">
        <v>42</v>
      </c>
      <c r="O637" s="8" t="s">
        <v>104</v>
      </c>
      <c r="P637" s="6" t="s">
        <v>44</v>
      </c>
      <c r="Q637" s="8" t="s">
        <v>45</v>
      </c>
      <c r="R637" s="10" t="s">
        <v>3808</v>
      </c>
      <c r="S637" s="11"/>
      <c r="T637" s="6"/>
      <c r="U637" s="24" t="str">
        <f>HYPERLINK("https://media.infra-m.ru/2200/2200970/cover/2200970.jpg", "Обложка")</f>
        <v>Обложка</v>
      </c>
      <c r="V637" s="24" t="str">
        <f>HYPERLINK("https://znanium.ru/catalog/product/2200970", "Ознакомиться")</f>
        <v>Ознакомиться</v>
      </c>
      <c r="W637" s="8" t="s">
        <v>3809</v>
      </c>
      <c r="X637" s="6"/>
      <c r="Y637" s="6"/>
      <c r="Z637" s="6"/>
      <c r="AA637" s="6" t="s">
        <v>494</v>
      </c>
      <c r="AB637" s="8"/>
    </row>
    <row r="638" spans="1:28" s="4" customFormat="1" ht="51.95" customHeight="1">
      <c r="A638" s="5">
        <v>0</v>
      </c>
      <c r="B638" s="6" t="s">
        <v>3810</v>
      </c>
      <c r="C638" s="7">
        <v>1236</v>
      </c>
      <c r="D638" s="8" t="s">
        <v>3811</v>
      </c>
      <c r="E638" s="8" t="s">
        <v>3812</v>
      </c>
      <c r="F638" s="8" t="s">
        <v>3813</v>
      </c>
      <c r="G638" s="6" t="s">
        <v>38</v>
      </c>
      <c r="H638" s="6" t="s">
        <v>39</v>
      </c>
      <c r="I638" s="8" t="s">
        <v>40</v>
      </c>
      <c r="J638" s="9">
        <v>1</v>
      </c>
      <c r="K638" s="9">
        <v>198</v>
      </c>
      <c r="L638" s="9">
        <v>2026</v>
      </c>
      <c r="M638" s="8" t="s">
        <v>3814</v>
      </c>
      <c r="N638" s="8" t="s">
        <v>144</v>
      </c>
      <c r="O638" s="8" t="s">
        <v>145</v>
      </c>
      <c r="P638" s="6" t="s">
        <v>44</v>
      </c>
      <c r="Q638" s="8" t="s">
        <v>45</v>
      </c>
      <c r="R638" s="10" t="s">
        <v>1160</v>
      </c>
      <c r="S638" s="11"/>
      <c r="T638" s="6"/>
      <c r="U638" s="24" t="str">
        <f>HYPERLINK("https://media.infra-m.ru/2210/2210791/cover/2210791.jpg", "Обложка")</f>
        <v>Обложка</v>
      </c>
      <c r="V638" s="24" t="str">
        <f>HYPERLINK("https://znanium.ru/catalog/product/2210791", "Ознакомиться")</f>
        <v>Ознакомиться</v>
      </c>
      <c r="W638" s="8" t="s">
        <v>768</v>
      </c>
      <c r="X638" s="6"/>
      <c r="Y638" s="6"/>
      <c r="Z638" s="6"/>
      <c r="AA638" s="6" t="s">
        <v>227</v>
      </c>
      <c r="AB638" s="8"/>
    </row>
    <row r="639" spans="1:28" s="4" customFormat="1" ht="42" customHeight="1">
      <c r="A639" s="5">
        <v>0</v>
      </c>
      <c r="B639" s="6" t="s">
        <v>3815</v>
      </c>
      <c r="C639" s="7">
        <v>1332</v>
      </c>
      <c r="D639" s="8" t="s">
        <v>3816</v>
      </c>
      <c r="E639" s="8" t="s">
        <v>3817</v>
      </c>
      <c r="F639" s="8" t="s">
        <v>3818</v>
      </c>
      <c r="G639" s="6" t="s">
        <v>62</v>
      </c>
      <c r="H639" s="6" t="s">
        <v>39</v>
      </c>
      <c r="I639" s="8" t="s">
        <v>40</v>
      </c>
      <c r="J639" s="9">
        <v>1</v>
      </c>
      <c r="K639" s="9">
        <v>212</v>
      </c>
      <c r="L639" s="9">
        <v>2025</v>
      </c>
      <c r="M639" s="8" t="s">
        <v>3819</v>
      </c>
      <c r="N639" s="8" t="s">
        <v>42</v>
      </c>
      <c r="O639" s="8" t="s">
        <v>908</v>
      </c>
      <c r="P639" s="6" t="s">
        <v>44</v>
      </c>
      <c r="Q639" s="8" t="s">
        <v>45</v>
      </c>
      <c r="R639" s="10" t="s">
        <v>3820</v>
      </c>
      <c r="S639" s="11"/>
      <c r="T639" s="6"/>
      <c r="U639" s="24" t="str">
        <f>HYPERLINK("https://media.infra-m.ru/2193/2193022/cover/2193022.jpg", "Обложка")</f>
        <v>Обложка</v>
      </c>
      <c r="V639" s="24" t="str">
        <f>HYPERLINK("https://znanium.ru/catalog/product/2193022", "Ознакомиться")</f>
        <v>Ознакомиться</v>
      </c>
      <c r="W639" s="8" t="s">
        <v>156</v>
      </c>
      <c r="X639" s="6"/>
      <c r="Y639" s="6"/>
      <c r="Z639" s="6"/>
      <c r="AA639" s="6" t="s">
        <v>48</v>
      </c>
      <c r="AB639" s="8"/>
    </row>
    <row r="640" spans="1:28" s="4" customFormat="1" ht="44.1" customHeight="1">
      <c r="A640" s="5">
        <v>0</v>
      </c>
      <c r="B640" s="6" t="s">
        <v>3821</v>
      </c>
      <c r="C640" s="13">
        <v>929.9</v>
      </c>
      <c r="D640" s="8" t="s">
        <v>3822</v>
      </c>
      <c r="E640" s="8" t="s">
        <v>3823</v>
      </c>
      <c r="F640" s="8" t="s">
        <v>3824</v>
      </c>
      <c r="G640" s="6" t="s">
        <v>38</v>
      </c>
      <c r="H640" s="6" t="s">
        <v>39</v>
      </c>
      <c r="I640" s="8" t="s">
        <v>40</v>
      </c>
      <c r="J640" s="9">
        <v>1</v>
      </c>
      <c r="K640" s="9">
        <v>173</v>
      </c>
      <c r="L640" s="9">
        <v>2023</v>
      </c>
      <c r="M640" s="8" t="s">
        <v>3825</v>
      </c>
      <c r="N640" s="8" t="s">
        <v>144</v>
      </c>
      <c r="O640" s="8" t="s">
        <v>145</v>
      </c>
      <c r="P640" s="6" t="s">
        <v>44</v>
      </c>
      <c r="Q640" s="8" t="s">
        <v>45</v>
      </c>
      <c r="R640" s="10" t="s">
        <v>3826</v>
      </c>
      <c r="S640" s="11"/>
      <c r="T640" s="6"/>
      <c r="U640" s="24" t="str">
        <f>HYPERLINK("https://media.infra-m.ru/1964/1964980/cover/1964980.jpg", "Обложка")</f>
        <v>Обложка</v>
      </c>
      <c r="V640" s="24" t="str">
        <f>HYPERLINK("https://znanium.ru/catalog/product/1007611", "Ознакомиться")</f>
        <v>Ознакомиться</v>
      </c>
      <c r="W640" s="8" t="s">
        <v>113</v>
      </c>
      <c r="X640" s="6"/>
      <c r="Y640" s="6"/>
      <c r="Z640" s="6"/>
      <c r="AA640" s="6" t="s">
        <v>57</v>
      </c>
      <c r="AB640" s="8"/>
    </row>
    <row r="641" spans="1:28" s="4" customFormat="1" ht="42" customHeight="1">
      <c r="A641" s="5">
        <v>0</v>
      </c>
      <c r="B641" s="6" t="s">
        <v>3827</v>
      </c>
      <c r="C641" s="7">
        <v>1200</v>
      </c>
      <c r="D641" s="8" t="s">
        <v>3828</v>
      </c>
      <c r="E641" s="8" t="s">
        <v>3829</v>
      </c>
      <c r="F641" s="8" t="s">
        <v>3830</v>
      </c>
      <c r="G641" s="6" t="s">
        <v>38</v>
      </c>
      <c r="H641" s="6" t="s">
        <v>39</v>
      </c>
      <c r="I641" s="8" t="s">
        <v>40</v>
      </c>
      <c r="J641" s="9">
        <v>1</v>
      </c>
      <c r="K641" s="9">
        <v>225</v>
      </c>
      <c r="L641" s="9">
        <v>2022</v>
      </c>
      <c r="M641" s="8" t="s">
        <v>3831</v>
      </c>
      <c r="N641" s="8" t="s">
        <v>42</v>
      </c>
      <c r="O641" s="8" t="s">
        <v>43</v>
      </c>
      <c r="P641" s="6" t="s">
        <v>44</v>
      </c>
      <c r="Q641" s="8" t="s">
        <v>45</v>
      </c>
      <c r="R641" s="10" t="s">
        <v>3832</v>
      </c>
      <c r="S641" s="11"/>
      <c r="T641" s="6"/>
      <c r="U641" s="24" t="str">
        <f>HYPERLINK("https://media.infra-m.ru/1868/1868934/cover/1868934.jpg", "Обложка")</f>
        <v>Обложка</v>
      </c>
      <c r="V641" s="24" t="str">
        <f>HYPERLINK("https://znanium.ru/catalog/product/1868934", "Ознакомиться")</f>
        <v>Ознакомиться</v>
      </c>
      <c r="W641" s="8" t="s">
        <v>3833</v>
      </c>
      <c r="X641" s="6"/>
      <c r="Y641" s="6"/>
      <c r="Z641" s="6"/>
      <c r="AA641" s="6" t="s">
        <v>83</v>
      </c>
      <c r="AB641" s="8"/>
    </row>
    <row r="642" spans="1:28" s="4" customFormat="1" ht="44.1" customHeight="1">
      <c r="A642" s="5">
        <v>0</v>
      </c>
      <c r="B642" s="6" t="s">
        <v>3834</v>
      </c>
      <c r="C642" s="7">
        <v>1476</v>
      </c>
      <c r="D642" s="8" t="s">
        <v>3835</v>
      </c>
      <c r="E642" s="8" t="s">
        <v>3836</v>
      </c>
      <c r="F642" s="8" t="s">
        <v>3837</v>
      </c>
      <c r="G642" s="6" t="s">
        <v>38</v>
      </c>
      <c r="H642" s="6" t="s">
        <v>39</v>
      </c>
      <c r="I642" s="8" t="s">
        <v>982</v>
      </c>
      <c r="J642" s="9">
        <v>1</v>
      </c>
      <c r="K642" s="9">
        <v>267</v>
      </c>
      <c r="L642" s="9">
        <v>2024</v>
      </c>
      <c r="M642" s="8" t="s">
        <v>3838</v>
      </c>
      <c r="N642" s="8" t="s">
        <v>42</v>
      </c>
      <c r="O642" s="8" t="s">
        <v>43</v>
      </c>
      <c r="P642" s="6" t="s">
        <v>44</v>
      </c>
      <c r="Q642" s="8" t="s">
        <v>45</v>
      </c>
      <c r="R642" s="10" t="s">
        <v>3839</v>
      </c>
      <c r="S642" s="11"/>
      <c r="T642" s="6"/>
      <c r="U642" s="24" t="str">
        <f>HYPERLINK("https://media.infra-m.ru/2063/2063435/cover/2063435.jpg", "Обложка")</f>
        <v>Обложка</v>
      </c>
      <c r="V642" s="24" t="str">
        <f>HYPERLINK("https://znanium.ru/catalog/product/2063435", "Ознакомиться")</f>
        <v>Ознакомиться</v>
      </c>
      <c r="W642" s="8" t="s">
        <v>147</v>
      </c>
      <c r="X642" s="6"/>
      <c r="Y642" s="6"/>
      <c r="Z642" s="6"/>
      <c r="AA642" s="6" t="s">
        <v>57</v>
      </c>
      <c r="AB642" s="8"/>
    </row>
    <row r="643" spans="1:28" s="4" customFormat="1" ht="42" customHeight="1">
      <c r="A643" s="5">
        <v>0</v>
      </c>
      <c r="B643" s="6" t="s">
        <v>3840</v>
      </c>
      <c r="C643" s="7">
        <v>3590.4</v>
      </c>
      <c r="D643" s="8" t="s">
        <v>3841</v>
      </c>
      <c r="E643" s="8" t="s">
        <v>3842</v>
      </c>
      <c r="F643" s="8" t="s">
        <v>3843</v>
      </c>
      <c r="G643" s="6" t="s">
        <v>62</v>
      </c>
      <c r="H643" s="6" t="s">
        <v>39</v>
      </c>
      <c r="I643" s="8" t="s">
        <v>340</v>
      </c>
      <c r="J643" s="9">
        <v>1</v>
      </c>
      <c r="K643" s="9">
        <v>292</v>
      </c>
      <c r="L643" s="9">
        <v>2025</v>
      </c>
      <c r="M643" s="8" t="s">
        <v>3844</v>
      </c>
      <c r="N643" s="8" t="s">
        <v>144</v>
      </c>
      <c r="O643" s="8" t="s">
        <v>145</v>
      </c>
      <c r="P643" s="6" t="s">
        <v>3845</v>
      </c>
      <c r="Q643" s="8" t="s">
        <v>180</v>
      </c>
      <c r="R643" s="10" t="s">
        <v>2327</v>
      </c>
      <c r="S643" s="11"/>
      <c r="T643" s="6"/>
      <c r="U643" s="24" t="str">
        <f>HYPERLINK("https://media.infra-m.ru/2143/2143237/cover/2143237.jpg", "Обложка")</f>
        <v>Обложка</v>
      </c>
      <c r="V643" s="24" t="str">
        <f>HYPERLINK("https://znanium.ru/catalog/product/2143237", "Ознакомиться")</f>
        <v>Ознакомиться</v>
      </c>
      <c r="W643" s="8"/>
      <c r="X643" s="6"/>
      <c r="Y643" s="6"/>
      <c r="Z643" s="6"/>
      <c r="AA643" s="6" t="s">
        <v>91</v>
      </c>
      <c r="AB643" s="8"/>
    </row>
    <row r="644" spans="1:28" s="4" customFormat="1" ht="42" customHeight="1">
      <c r="A644" s="5">
        <v>0</v>
      </c>
      <c r="B644" s="6" t="s">
        <v>3846</v>
      </c>
      <c r="C644" s="13">
        <v>948</v>
      </c>
      <c r="D644" s="8" t="s">
        <v>3847</v>
      </c>
      <c r="E644" s="8" t="s">
        <v>3848</v>
      </c>
      <c r="F644" s="8" t="s">
        <v>3849</v>
      </c>
      <c r="G644" s="6" t="s">
        <v>38</v>
      </c>
      <c r="H644" s="6" t="s">
        <v>39</v>
      </c>
      <c r="I644" s="8" t="s">
        <v>40</v>
      </c>
      <c r="J644" s="9">
        <v>1</v>
      </c>
      <c r="K644" s="9">
        <v>151</v>
      </c>
      <c r="L644" s="9">
        <v>2025</v>
      </c>
      <c r="M644" s="8" t="s">
        <v>3850</v>
      </c>
      <c r="N644" s="8" t="s">
        <v>42</v>
      </c>
      <c r="O644" s="8" t="s">
        <v>43</v>
      </c>
      <c r="P644" s="6" t="s">
        <v>44</v>
      </c>
      <c r="Q644" s="8" t="s">
        <v>45</v>
      </c>
      <c r="R644" s="10" t="s">
        <v>3851</v>
      </c>
      <c r="S644" s="11"/>
      <c r="T644" s="6"/>
      <c r="U644" s="24" t="str">
        <f>HYPERLINK("https://media.infra-m.ru/2217/2217134/cover/2217134.jpg", "Обложка")</f>
        <v>Обложка</v>
      </c>
      <c r="V644" s="24" t="str">
        <f>HYPERLINK("https://znanium.ru/catalog/product/2217134", "Ознакомиться")</f>
        <v>Ознакомиться</v>
      </c>
      <c r="W644" s="8" t="s">
        <v>3852</v>
      </c>
      <c r="X644" s="6"/>
      <c r="Y644" s="6"/>
      <c r="Z644" s="6"/>
      <c r="AA644" s="6" t="s">
        <v>264</v>
      </c>
      <c r="AB644" s="8"/>
    </row>
    <row r="645" spans="1:28" s="4" customFormat="1" ht="51.95" customHeight="1">
      <c r="A645" s="5">
        <v>0</v>
      </c>
      <c r="B645" s="6" t="s">
        <v>3853</v>
      </c>
      <c r="C645" s="7">
        <v>2492.4</v>
      </c>
      <c r="D645" s="8" t="s">
        <v>3854</v>
      </c>
      <c r="E645" s="8" t="s">
        <v>3855</v>
      </c>
      <c r="F645" s="8" t="s">
        <v>3856</v>
      </c>
      <c r="G645" s="6" t="s">
        <v>38</v>
      </c>
      <c r="H645" s="6" t="s">
        <v>39</v>
      </c>
      <c r="I645" s="8" t="s">
        <v>175</v>
      </c>
      <c r="J645" s="9">
        <v>1</v>
      </c>
      <c r="K645" s="9">
        <v>320</v>
      </c>
      <c r="L645" s="9">
        <v>2025</v>
      </c>
      <c r="M645" s="8" t="s">
        <v>3857</v>
      </c>
      <c r="N645" s="8" t="s">
        <v>119</v>
      </c>
      <c r="O645" s="8" t="s">
        <v>162</v>
      </c>
      <c r="P645" s="6" t="s">
        <v>154</v>
      </c>
      <c r="Q645" s="8" t="s">
        <v>45</v>
      </c>
      <c r="R645" s="10" t="s">
        <v>3858</v>
      </c>
      <c r="S645" s="11"/>
      <c r="T645" s="6"/>
      <c r="U645" s="24" t="str">
        <f>HYPERLINK("https://media.infra-m.ru/2188/2188758/cover/2188758.jpg", "Обложка")</f>
        <v>Обложка</v>
      </c>
      <c r="V645" s="24" t="str">
        <f>HYPERLINK("https://znanium.ru/catalog/product/1907577", "Ознакомиться")</f>
        <v>Ознакомиться</v>
      </c>
      <c r="W645" s="8" t="s">
        <v>1887</v>
      </c>
      <c r="X645" s="6"/>
      <c r="Y645" s="6"/>
      <c r="Z645" s="6"/>
      <c r="AA645" s="6" t="s">
        <v>470</v>
      </c>
      <c r="AB645" s="8"/>
    </row>
    <row r="646" spans="1:28" s="4" customFormat="1" ht="51.95" customHeight="1">
      <c r="A646" s="5">
        <v>0</v>
      </c>
      <c r="B646" s="6" t="s">
        <v>3859</v>
      </c>
      <c r="C646" s="13">
        <v>299.89999999999998</v>
      </c>
      <c r="D646" s="8" t="s">
        <v>3860</v>
      </c>
      <c r="E646" s="8" t="s">
        <v>3861</v>
      </c>
      <c r="F646" s="8" t="s">
        <v>627</v>
      </c>
      <c r="G646" s="6" t="s">
        <v>38</v>
      </c>
      <c r="H646" s="6" t="s">
        <v>39</v>
      </c>
      <c r="I646" s="8"/>
      <c r="J646" s="9">
        <v>1</v>
      </c>
      <c r="K646" s="9">
        <v>84</v>
      </c>
      <c r="L646" s="9">
        <v>2020</v>
      </c>
      <c r="M646" s="8" t="s">
        <v>3862</v>
      </c>
      <c r="N646" s="8" t="s">
        <v>119</v>
      </c>
      <c r="O646" s="8" t="s">
        <v>915</v>
      </c>
      <c r="P646" s="6" t="s">
        <v>631</v>
      </c>
      <c r="Q646" s="8" t="s">
        <v>45</v>
      </c>
      <c r="R646" s="10" t="s">
        <v>3863</v>
      </c>
      <c r="S646" s="11"/>
      <c r="T646" s="6"/>
      <c r="U646" s="24" t="str">
        <f>HYPERLINK("https://media.infra-m.ru/1077/1077296/cover/1077296.jpg", "Обложка")</f>
        <v>Обложка</v>
      </c>
      <c r="V646" s="24" t="str">
        <f>HYPERLINK("https://znanium.ru/catalog/product/2218219", "Ознакомиться")</f>
        <v>Ознакомиться</v>
      </c>
      <c r="W646" s="8"/>
      <c r="X646" s="6"/>
      <c r="Y646" s="6"/>
      <c r="Z646" s="6"/>
      <c r="AA646" s="6" t="s">
        <v>412</v>
      </c>
      <c r="AB646" s="8"/>
    </row>
    <row r="647" spans="1:28" s="4" customFormat="1" ht="51.95" customHeight="1">
      <c r="A647" s="5">
        <v>0</v>
      </c>
      <c r="B647" s="6" t="s">
        <v>3864</v>
      </c>
      <c r="C647" s="13">
        <v>180</v>
      </c>
      <c r="D647" s="8" t="s">
        <v>3865</v>
      </c>
      <c r="E647" s="8" t="s">
        <v>3866</v>
      </c>
      <c r="F647" s="8" t="s">
        <v>627</v>
      </c>
      <c r="G647" s="6" t="s">
        <v>628</v>
      </c>
      <c r="H647" s="6" t="s">
        <v>39</v>
      </c>
      <c r="I647" s="8"/>
      <c r="J647" s="9">
        <v>1</v>
      </c>
      <c r="K647" s="9">
        <v>38</v>
      </c>
      <c r="L647" s="9">
        <v>2019</v>
      </c>
      <c r="M647" s="8" t="s">
        <v>3862</v>
      </c>
      <c r="N647" s="8" t="s">
        <v>119</v>
      </c>
      <c r="O647" s="8" t="s">
        <v>915</v>
      </c>
      <c r="P647" s="6" t="s">
        <v>631</v>
      </c>
      <c r="Q647" s="8" t="s">
        <v>45</v>
      </c>
      <c r="R647" s="10" t="s">
        <v>3863</v>
      </c>
      <c r="S647" s="11"/>
      <c r="T647" s="6"/>
      <c r="U647" s="24" t="str">
        <f>HYPERLINK("https://media.infra-m.ru/0990/0990042/cover/990042.jpg", "Обложка")</f>
        <v>Обложка</v>
      </c>
      <c r="V647" s="24" t="str">
        <f>HYPERLINK("https://znanium.ru/catalog/product/2218219", "Ознакомиться")</f>
        <v>Ознакомиться</v>
      </c>
      <c r="W647" s="8"/>
      <c r="X647" s="6"/>
      <c r="Y647" s="6"/>
      <c r="Z647" s="6"/>
      <c r="AA647" s="6" t="s">
        <v>213</v>
      </c>
      <c r="AB647" s="8"/>
    </row>
    <row r="648" spans="1:28" s="4" customFormat="1" ht="51.95" customHeight="1">
      <c r="A648" s="5">
        <v>0</v>
      </c>
      <c r="B648" s="6" t="s">
        <v>3867</v>
      </c>
      <c r="C648" s="13">
        <v>564</v>
      </c>
      <c r="D648" s="8" t="s">
        <v>3868</v>
      </c>
      <c r="E648" s="8" t="s">
        <v>3869</v>
      </c>
      <c r="F648" s="8" t="s">
        <v>627</v>
      </c>
      <c r="G648" s="6" t="s">
        <v>38</v>
      </c>
      <c r="H648" s="6" t="s">
        <v>39</v>
      </c>
      <c r="I648" s="8"/>
      <c r="J648" s="9">
        <v>1</v>
      </c>
      <c r="K648" s="9">
        <v>101</v>
      </c>
      <c r="L648" s="9">
        <v>2024</v>
      </c>
      <c r="M648" s="8" t="s">
        <v>3870</v>
      </c>
      <c r="N648" s="8" t="s">
        <v>119</v>
      </c>
      <c r="O648" s="8" t="s">
        <v>915</v>
      </c>
      <c r="P648" s="6" t="s">
        <v>631</v>
      </c>
      <c r="Q648" s="8" t="s">
        <v>45</v>
      </c>
      <c r="R648" s="10" t="s">
        <v>3863</v>
      </c>
      <c r="S648" s="11"/>
      <c r="T648" s="6" t="s">
        <v>633</v>
      </c>
      <c r="U648" s="24" t="str">
        <f>HYPERLINK("https://media.infra-m.ru/2119/2119920/cover/2119920.jpg", "Обложка")</f>
        <v>Обложка</v>
      </c>
      <c r="V648" s="24" t="str">
        <f>HYPERLINK("https://znanium.ru/catalog/product/2218219", "Ознакомиться")</f>
        <v>Ознакомиться</v>
      </c>
      <c r="W648" s="8"/>
      <c r="X648" s="6"/>
      <c r="Y648" s="6"/>
      <c r="Z648" s="6"/>
      <c r="AA648" s="6" t="s">
        <v>1495</v>
      </c>
      <c r="AB648" s="8"/>
    </row>
    <row r="649" spans="1:28" s="4" customFormat="1" ht="51.95" customHeight="1">
      <c r="A649" s="5">
        <v>0</v>
      </c>
      <c r="B649" s="6" t="s">
        <v>3871</v>
      </c>
      <c r="C649" s="13">
        <v>636</v>
      </c>
      <c r="D649" s="8" t="s">
        <v>3872</v>
      </c>
      <c r="E649" s="8" t="s">
        <v>3873</v>
      </c>
      <c r="F649" s="8" t="s">
        <v>627</v>
      </c>
      <c r="G649" s="6" t="s">
        <v>38</v>
      </c>
      <c r="H649" s="6" t="s">
        <v>39</v>
      </c>
      <c r="I649" s="8" t="s">
        <v>629</v>
      </c>
      <c r="J649" s="9">
        <v>1</v>
      </c>
      <c r="K649" s="9">
        <v>101</v>
      </c>
      <c r="L649" s="9">
        <v>2026</v>
      </c>
      <c r="M649" s="8" t="s">
        <v>3874</v>
      </c>
      <c r="N649" s="8" t="s">
        <v>119</v>
      </c>
      <c r="O649" s="8" t="s">
        <v>915</v>
      </c>
      <c r="P649" s="6" t="s">
        <v>631</v>
      </c>
      <c r="Q649" s="8" t="s">
        <v>45</v>
      </c>
      <c r="R649" s="10" t="s">
        <v>3863</v>
      </c>
      <c r="S649" s="11"/>
      <c r="T649" s="6" t="s">
        <v>633</v>
      </c>
      <c r="U649" s="24" t="str">
        <f>HYPERLINK("https://media.infra-m.ru/2218/2218219/cover/2218219.jpg", "Обложка")</f>
        <v>Обложка</v>
      </c>
      <c r="V649" s="24" t="str">
        <f>HYPERLINK("https://znanium.ru/catalog/product/2218219", "Ознакомиться")</f>
        <v>Ознакомиться</v>
      </c>
      <c r="W649" s="8"/>
      <c r="X649" s="6"/>
      <c r="Y649" s="6"/>
      <c r="Z649" s="6"/>
      <c r="AA649" s="6" t="s">
        <v>3875</v>
      </c>
      <c r="AB649" s="8"/>
    </row>
    <row r="650" spans="1:28" s="4" customFormat="1" ht="51.95" customHeight="1">
      <c r="A650" s="5">
        <v>0</v>
      </c>
      <c r="B650" s="6" t="s">
        <v>3876</v>
      </c>
      <c r="C650" s="7">
        <v>1188</v>
      </c>
      <c r="D650" s="8" t="s">
        <v>3877</v>
      </c>
      <c r="E650" s="8" t="s">
        <v>3878</v>
      </c>
      <c r="F650" s="8" t="s">
        <v>3879</v>
      </c>
      <c r="G650" s="6" t="s">
        <v>38</v>
      </c>
      <c r="H650" s="6" t="s">
        <v>39</v>
      </c>
      <c r="I650" s="8" t="s">
        <v>40</v>
      </c>
      <c r="J650" s="9">
        <v>1</v>
      </c>
      <c r="K650" s="9">
        <v>215</v>
      </c>
      <c r="L650" s="9">
        <v>2024</v>
      </c>
      <c r="M650" s="8" t="s">
        <v>3880</v>
      </c>
      <c r="N650" s="8" t="s">
        <v>306</v>
      </c>
      <c r="O650" s="8" t="s">
        <v>307</v>
      </c>
      <c r="P650" s="6" t="s">
        <v>44</v>
      </c>
      <c r="Q650" s="8" t="s">
        <v>45</v>
      </c>
      <c r="R650" s="10" t="s">
        <v>3881</v>
      </c>
      <c r="S650" s="11"/>
      <c r="T650" s="6"/>
      <c r="U650" s="24" t="str">
        <f>HYPERLINK("https://media.infra-m.ru/1971/1971851/cover/1971851.jpg", "Обложка")</f>
        <v>Обложка</v>
      </c>
      <c r="V650" s="24" t="str">
        <f>HYPERLINK("https://znanium.ru/catalog/product/1971851", "Ознакомиться")</f>
        <v>Ознакомиться</v>
      </c>
      <c r="W650" s="8" t="s">
        <v>1128</v>
      </c>
      <c r="X650" s="6"/>
      <c r="Y650" s="6"/>
      <c r="Z650" s="6"/>
      <c r="AA650" s="6" t="s">
        <v>48</v>
      </c>
      <c r="AB650" s="8"/>
    </row>
    <row r="651" spans="1:28" s="4" customFormat="1" ht="42" customHeight="1">
      <c r="A651" s="5">
        <v>0</v>
      </c>
      <c r="B651" s="6" t="s">
        <v>3882</v>
      </c>
      <c r="C651" s="13">
        <v>444</v>
      </c>
      <c r="D651" s="8" t="s">
        <v>3883</v>
      </c>
      <c r="E651" s="8" t="s">
        <v>3884</v>
      </c>
      <c r="F651" s="8" t="s">
        <v>627</v>
      </c>
      <c r="G651" s="6" t="s">
        <v>38</v>
      </c>
      <c r="H651" s="6" t="s">
        <v>39</v>
      </c>
      <c r="I651" s="8" t="s">
        <v>629</v>
      </c>
      <c r="J651" s="9">
        <v>1</v>
      </c>
      <c r="K651" s="9">
        <v>101</v>
      </c>
      <c r="L651" s="9">
        <v>2026</v>
      </c>
      <c r="M651" s="8" t="s">
        <v>3885</v>
      </c>
      <c r="N651" s="8" t="s">
        <v>119</v>
      </c>
      <c r="O651" s="8" t="s">
        <v>915</v>
      </c>
      <c r="P651" s="6" t="s">
        <v>916</v>
      </c>
      <c r="Q651" s="8" t="s">
        <v>180</v>
      </c>
      <c r="R651" s="10" t="s">
        <v>917</v>
      </c>
      <c r="S651" s="11"/>
      <c r="T651" s="6"/>
      <c r="U651" s="24" t="str">
        <f>HYPERLINK("https://media.infra-m.ru/2226/2226222/cover/2226222.jpg", "Обложка")</f>
        <v>Обложка</v>
      </c>
      <c r="V651" s="24" t="str">
        <f>HYPERLINK("https://znanium.ru/catalog/product/2226222", "Ознакомиться")</f>
        <v>Ознакомиться</v>
      </c>
      <c r="W651" s="8"/>
      <c r="X651" s="6"/>
      <c r="Y651" s="6"/>
      <c r="Z651" s="6"/>
      <c r="AA651" s="6" t="s">
        <v>91</v>
      </c>
      <c r="AB651" s="8"/>
    </row>
    <row r="652" spans="1:28" s="4" customFormat="1" ht="51.95" customHeight="1">
      <c r="A652" s="5">
        <v>0</v>
      </c>
      <c r="B652" s="6" t="s">
        <v>3886</v>
      </c>
      <c r="C652" s="7">
        <v>2389.1999999999998</v>
      </c>
      <c r="D652" s="8" t="s">
        <v>3887</v>
      </c>
      <c r="E652" s="8" t="s">
        <v>3888</v>
      </c>
      <c r="F652" s="8"/>
      <c r="G652" s="6" t="s">
        <v>38</v>
      </c>
      <c r="H652" s="6" t="s">
        <v>118</v>
      </c>
      <c r="I652" s="8"/>
      <c r="J652" s="9">
        <v>1</v>
      </c>
      <c r="K652" s="9">
        <v>100</v>
      </c>
      <c r="L652" s="9">
        <v>2020</v>
      </c>
      <c r="M652" s="8"/>
      <c r="N652" s="8" t="s">
        <v>177</v>
      </c>
      <c r="O652" s="8" t="s">
        <v>2639</v>
      </c>
      <c r="P652" s="6" t="s">
        <v>121</v>
      </c>
      <c r="Q652" s="8" t="s">
        <v>45</v>
      </c>
      <c r="R652" s="10" t="s">
        <v>3889</v>
      </c>
      <c r="S652" s="11"/>
      <c r="T652" s="6"/>
      <c r="U652" s="24" t="str">
        <f>HYPERLINK("https://media.infra-m.ru/1074/1074464/cover/1074464.jpg", "Обложка")</f>
        <v>Обложка</v>
      </c>
      <c r="V652" s="24" t="str">
        <f>HYPERLINK("https://znanium.ru/catalog/product/1074464", "Ознакомиться")</f>
        <v>Ознакомиться</v>
      </c>
      <c r="W652" s="8"/>
      <c r="X652" s="6"/>
      <c r="Y652" s="6"/>
      <c r="Z652" s="6"/>
      <c r="AA652" s="6"/>
      <c r="AB652" s="8"/>
    </row>
    <row r="653" spans="1:28" s="4" customFormat="1" ht="42" customHeight="1">
      <c r="A653" s="5">
        <v>0</v>
      </c>
      <c r="B653" s="6" t="s">
        <v>3890</v>
      </c>
      <c r="C653" s="7">
        <v>1360.8</v>
      </c>
      <c r="D653" s="8" t="s">
        <v>3891</v>
      </c>
      <c r="E653" s="8" t="s">
        <v>3892</v>
      </c>
      <c r="F653" s="8" t="s">
        <v>3893</v>
      </c>
      <c r="G653" s="6" t="s">
        <v>38</v>
      </c>
      <c r="H653" s="6" t="s">
        <v>39</v>
      </c>
      <c r="I653" s="8" t="s">
        <v>40</v>
      </c>
      <c r="J653" s="9">
        <v>1</v>
      </c>
      <c r="K653" s="9">
        <v>242</v>
      </c>
      <c r="L653" s="9">
        <v>2024</v>
      </c>
      <c r="M653" s="8" t="s">
        <v>3894</v>
      </c>
      <c r="N653" s="8" t="s">
        <v>144</v>
      </c>
      <c r="O653" s="8" t="s">
        <v>145</v>
      </c>
      <c r="P653" s="6" t="s">
        <v>44</v>
      </c>
      <c r="Q653" s="8" t="s">
        <v>45</v>
      </c>
      <c r="R653" s="10" t="s">
        <v>3895</v>
      </c>
      <c r="S653" s="11"/>
      <c r="T653" s="6"/>
      <c r="U653" s="24" t="str">
        <f>HYPERLINK("https://media.infra-m.ru/2138/2138768/cover/2138768.jpg", "Обложка")</f>
        <v>Обложка</v>
      </c>
      <c r="V653" s="24" t="str">
        <f>HYPERLINK("https://znanium.ru/catalog/product/2138767", "Ознакомиться")</f>
        <v>Ознакомиться</v>
      </c>
      <c r="W653" s="8" t="s">
        <v>1022</v>
      </c>
      <c r="X653" s="6"/>
      <c r="Y653" s="6"/>
      <c r="Z653" s="6"/>
      <c r="AA653" s="6" t="s">
        <v>1688</v>
      </c>
      <c r="AB653" s="8"/>
    </row>
    <row r="654" spans="1:28" s="4" customFormat="1" ht="42" customHeight="1">
      <c r="A654" s="5">
        <v>0</v>
      </c>
      <c r="B654" s="6" t="s">
        <v>3896</v>
      </c>
      <c r="C654" s="7">
        <v>2760</v>
      </c>
      <c r="D654" s="8" t="s">
        <v>3897</v>
      </c>
      <c r="E654" s="8" t="s">
        <v>3898</v>
      </c>
      <c r="F654" s="8" t="s">
        <v>3899</v>
      </c>
      <c r="G654" s="6" t="s">
        <v>96</v>
      </c>
      <c r="H654" s="6" t="s">
        <v>39</v>
      </c>
      <c r="I654" s="8" t="s">
        <v>340</v>
      </c>
      <c r="J654" s="9">
        <v>1</v>
      </c>
      <c r="K654" s="9">
        <v>486</v>
      </c>
      <c r="L654" s="9">
        <v>2024</v>
      </c>
      <c r="M654" s="8" t="s">
        <v>3900</v>
      </c>
      <c r="N654" s="8" t="s">
        <v>119</v>
      </c>
      <c r="O654" s="8" t="s">
        <v>120</v>
      </c>
      <c r="P654" s="6" t="s">
        <v>271</v>
      </c>
      <c r="Q654" s="8" t="s">
        <v>180</v>
      </c>
      <c r="R654" s="10" t="s">
        <v>3901</v>
      </c>
      <c r="S654" s="11"/>
      <c r="T654" s="6"/>
      <c r="U654" s="24" t="str">
        <f>HYPERLINK("https://media.infra-m.ru/1876/1876529/cover/1876529.jpg", "Обложка")</f>
        <v>Обложка</v>
      </c>
      <c r="V654" s="24" t="str">
        <f>HYPERLINK("https://znanium.ru/catalog/product/1876529", "Ознакомиться")</f>
        <v>Ознакомиться</v>
      </c>
      <c r="W654" s="8" t="s">
        <v>3902</v>
      </c>
      <c r="X654" s="6"/>
      <c r="Y654" s="6"/>
      <c r="Z654" s="6"/>
      <c r="AA654" s="6" t="s">
        <v>48</v>
      </c>
      <c r="AB654" s="8"/>
    </row>
    <row r="655" spans="1:28" s="4" customFormat="1" ht="51.95" customHeight="1">
      <c r="A655" s="5">
        <v>0</v>
      </c>
      <c r="B655" s="6" t="s">
        <v>3903</v>
      </c>
      <c r="C655" s="7">
        <v>1380</v>
      </c>
      <c r="D655" s="8" t="s">
        <v>3904</v>
      </c>
      <c r="E655" s="8" t="s">
        <v>3905</v>
      </c>
      <c r="F655" s="8" t="s">
        <v>3906</v>
      </c>
      <c r="G655" s="6" t="s">
        <v>38</v>
      </c>
      <c r="H655" s="6" t="s">
        <v>167</v>
      </c>
      <c r="I655" s="8" t="s">
        <v>3907</v>
      </c>
      <c r="J655" s="9">
        <v>1</v>
      </c>
      <c r="K655" s="9">
        <v>256</v>
      </c>
      <c r="L655" s="9">
        <v>2023</v>
      </c>
      <c r="M655" s="8" t="s">
        <v>3908</v>
      </c>
      <c r="N655" s="8" t="s">
        <v>119</v>
      </c>
      <c r="O655" s="8" t="s">
        <v>120</v>
      </c>
      <c r="P655" s="6" t="s">
        <v>459</v>
      </c>
      <c r="Q655" s="8" t="s">
        <v>45</v>
      </c>
      <c r="R655" s="10" t="s">
        <v>3909</v>
      </c>
      <c r="S655" s="11"/>
      <c r="T655" s="6"/>
      <c r="U655" s="24" t="str">
        <f>HYPERLINK("https://media.infra-m.ru/1919/1919497/cover/1919497.jpg", "Обложка")</f>
        <v>Обложка</v>
      </c>
      <c r="V655" s="24" t="str">
        <f>HYPERLINK("https://znanium.ru/catalog/product/1919497", "Ознакомиться")</f>
        <v>Ознакомиться</v>
      </c>
      <c r="W655" s="8" t="s">
        <v>3910</v>
      </c>
      <c r="X655" s="6"/>
      <c r="Y655" s="6"/>
      <c r="Z655" s="6"/>
      <c r="AA655" s="6" t="s">
        <v>3911</v>
      </c>
      <c r="AB655" s="8"/>
    </row>
    <row r="656" spans="1:28" s="4" customFormat="1" ht="51.95" customHeight="1">
      <c r="A656" s="5">
        <v>0</v>
      </c>
      <c r="B656" s="6" t="s">
        <v>3912</v>
      </c>
      <c r="C656" s="7">
        <v>1049.9000000000001</v>
      </c>
      <c r="D656" s="8" t="s">
        <v>3913</v>
      </c>
      <c r="E656" s="8" t="s">
        <v>3914</v>
      </c>
      <c r="F656" s="8" t="s">
        <v>3915</v>
      </c>
      <c r="G656" s="6" t="s">
        <v>96</v>
      </c>
      <c r="H656" s="6" t="s">
        <v>167</v>
      </c>
      <c r="I656" s="8"/>
      <c r="J656" s="9">
        <v>1</v>
      </c>
      <c r="K656" s="9">
        <v>256</v>
      </c>
      <c r="L656" s="9">
        <v>2019</v>
      </c>
      <c r="M656" s="8" t="s">
        <v>3916</v>
      </c>
      <c r="N656" s="8" t="s">
        <v>119</v>
      </c>
      <c r="O656" s="8" t="s">
        <v>120</v>
      </c>
      <c r="P656" s="6" t="s">
        <v>154</v>
      </c>
      <c r="Q656" s="8" t="s">
        <v>180</v>
      </c>
      <c r="R656" s="10" t="s">
        <v>1560</v>
      </c>
      <c r="S656" s="11"/>
      <c r="T656" s="6"/>
      <c r="U656" s="24" t="str">
        <f>HYPERLINK("https://media.infra-m.ru/0988/0988093/cover/988093.jpg", "Обложка")</f>
        <v>Обложка</v>
      </c>
      <c r="V656" s="24" t="str">
        <f>HYPERLINK("https://znanium.ru/catalog/product/1221174", "Ознакомиться")</f>
        <v>Ознакомиться</v>
      </c>
      <c r="W656" s="8" t="s">
        <v>708</v>
      </c>
      <c r="X656" s="6"/>
      <c r="Y656" s="6"/>
      <c r="Z656" s="6"/>
      <c r="AA656" s="6" t="s">
        <v>183</v>
      </c>
      <c r="AB656" s="8"/>
    </row>
    <row r="657" spans="1:28" s="4" customFormat="1" ht="51.95" customHeight="1">
      <c r="A657" s="5">
        <v>0</v>
      </c>
      <c r="B657" s="6" t="s">
        <v>3917</v>
      </c>
      <c r="C657" s="13">
        <v>809.9</v>
      </c>
      <c r="D657" s="8" t="s">
        <v>3918</v>
      </c>
      <c r="E657" s="8" t="s">
        <v>3919</v>
      </c>
      <c r="F657" s="8" t="s">
        <v>3920</v>
      </c>
      <c r="G657" s="6" t="s">
        <v>38</v>
      </c>
      <c r="H657" s="6" t="s">
        <v>39</v>
      </c>
      <c r="I657" s="8" t="s">
        <v>40</v>
      </c>
      <c r="J657" s="9">
        <v>1</v>
      </c>
      <c r="K657" s="9">
        <v>150</v>
      </c>
      <c r="L657" s="9">
        <v>2023</v>
      </c>
      <c r="M657" s="8" t="s">
        <v>3921</v>
      </c>
      <c r="N657" s="8" t="s">
        <v>42</v>
      </c>
      <c r="O657" s="8" t="s">
        <v>43</v>
      </c>
      <c r="P657" s="6" t="s">
        <v>44</v>
      </c>
      <c r="Q657" s="8" t="s">
        <v>45</v>
      </c>
      <c r="R657" s="10" t="s">
        <v>1719</v>
      </c>
      <c r="S657" s="11"/>
      <c r="T657" s="6"/>
      <c r="U657" s="24" t="str">
        <f>HYPERLINK("https://media.infra-m.ru/1896/1896425/cover/1896425.jpg", "Обложка")</f>
        <v>Обложка</v>
      </c>
      <c r="V657" s="24" t="str">
        <f>HYPERLINK("https://znanium.ru/catalog/product/1078338", "Ознакомиться")</f>
        <v>Ознакомиться</v>
      </c>
      <c r="W657" s="8" t="s">
        <v>329</v>
      </c>
      <c r="X657" s="6"/>
      <c r="Y657" s="6"/>
      <c r="Z657" s="6"/>
      <c r="AA657" s="6" t="s">
        <v>264</v>
      </c>
      <c r="AB657" s="8"/>
    </row>
    <row r="658" spans="1:28" s="4" customFormat="1" ht="42" customHeight="1">
      <c r="A658" s="5">
        <v>0</v>
      </c>
      <c r="B658" s="6" t="s">
        <v>3922</v>
      </c>
      <c r="C658" s="7">
        <v>1620</v>
      </c>
      <c r="D658" s="8" t="s">
        <v>3923</v>
      </c>
      <c r="E658" s="8" t="s">
        <v>3924</v>
      </c>
      <c r="F658" s="8" t="s">
        <v>3925</v>
      </c>
      <c r="G658" s="6" t="s">
        <v>62</v>
      </c>
      <c r="H658" s="6" t="s">
        <v>39</v>
      </c>
      <c r="I658" s="8" t="s">
        <v>1529</v>
      </c>
      <c r="J658" s="9">
        <v>1</v>
      </c>
      <c r="K658" s="9">
        <v>259</v>
      </c>
      <c r="L658" s="9">
        <v>2025</v>
      </c>
      <c r="M658" s="8" t="s">
        <v>3926</v>
      </c>
      <c r="N658" s="8" t="s">
        <v>42</v>
      </c>
      <c r="O658" s="8" t="s">
        <v>43</v>
      </c>
      <c r="P658" s="6" t="s">
        <v>44</v>
      </c>
      <c r="Q658" s="8" t="s">
        <v>45</v>
      </c>
      <c r="R658" s="10" t="s">
        <v>518</v>
      </c>
      <c r="S658" s="11"/>
      <c r="T658" s="6"/>
      <c r="U658" s="24" t="str">
        <f>HYPERLINK("https://media.infra-m.ru/2206/2206793/cover/2206793.jpg", "Обложка")</f>
        <v>Обложка</v>
      </c>
      <c r="V658" s="12"/>
      <c r="W658" s="8" t="s">
        <v>1532</v>
      </c>
      <c r="X658" s="6"/>
      <c r="Y658" s="6"/>
      <c r="Z658" s="6"/>
      <c r="AA658" s="6" t="s">
        <v>138</v>
      </c>
      <c r="AB658" s="8"/>
    </row>
    <row r="659" spans="1:28" s="4" customFormat="1" ht="42" customHeight="1">
      <c r="A659" s="5">
        <v>0</v>
      </c>
      <c r="B659" s="6" t="s">
        <v>3927</v>
      </c>
      <c r="C659" s="13">
        <v>936</v>
      </c>
      <c r="D659" s="8" t="s">
        <v>3928</v>
      </c>
      <c r="E659" s="8" t="s">
        <v>3929</v>
      </c>
      <c r="F659" s="8" t="s">
        <v>3930</v>
      </c>
      <c r="G659" s="6" t="s">
        <v>38</v>
      </c>
      <c r="H659" s="6" t="s">
        <v>39</v>
      </c>
      <c r="I659" s="8" t="s">
        <v>3931</v>
      </c>
      <c r="J659" s="9">
        <v>1</v>
      </c>
      <c r="K659" s="9">
        <v>199</v>
      </c>
      <c r="L659" s="9">
        <v>2022</v>
      </c>
      <c r="M659" s="8" t="s">
        <v>3932</v>
      </c>
      <c r="N659" s="8" t="s">
        <v>42</v>
      </c>
      <c r="O659" s="8" t="s">
        <v>72</v>
      </c>
      <c r="P659" s="6" t="s">
        <v>44</v>
      </c>
      <c r="Q659" s="8" t="s">
        <v>45</v>
      </c>
      <c r="R659" s="10" t="s">
        <v>581</v>
      </c>
      <c r="S659" s="11"/>
      <c r="T659" s="6"/>
      <c r="U659" s="24" t="str">
        <f>HYPERLINK("https://media.infra-m.ru/1862/1862661/cover/1862661.jpg", "Обложка")</f>
        <v>Обложка</v>
      </c>
      <c r="V659" s="24" t="str">
        <f>HYPERLINK("https://znanium.ru/catalog/product/1862661", "Ознакомиться")</f>
        <v>Ознакомиться</v>
      </c>
      <c r="W659" s="8" t="s">
        <v>760</v>
      </c>
      <c r="X659" s="6"/>
      <c r="Y659" s="6"/>
      <c r="Z659" s="6"/>
      <c r="AA659" s="6" t="s">
        <v>57</v>
      </c>
      <c r="AB659" s="8"/>
    </row>
    <row r="660" spans="1:28" s="4" customFormat="1" ht="42" customHeight="1">
      <c r="A660" s="5">
        <v>0</v>
      </c>
      <c r="B660" s="6" t="s">
        <v>3933</v>
      </c>
      <c r="C660" s="7">
        <v>1200</v>
      </c>
      <c r="D660" s="8" t="s">
        <v>3934</v>
      </c>
      <c r="E660" s="8" t="s">
        <v>3935</v>
      </c>
      <c r="F660" s="8" t="s">
        <v>53</v>
      </c>
      <c r="G660" s="6" t="s">
        <v>38</v>
      </c>
      <c r="H660" s="6" t="s">
        <v>39</v>
      </c>
      <c r="I660" s="8" t="s">
        <v>40</v>
      </c>
      <c r="J660" s="9">
        <v>1</v>
      </c>
      <c r="K660" s="9">
        <v>192</v>
      </c>
      <c r="L660" s="9">
        <v>2025</v>
      </c>
      <c r="M660" s="8" t="s">
        <v>3936</v>
      </c>
      <c r="N660" s="8" t="s">
        <v>42</v>
      </c>
      <c r="O660" s="8" t="s">
        <v>43</v>
      </c>
      <c r="P660" s="6" t="s">
        <v>44</v>
      </c>
      <c r="Q660" s="8" t="s">
        <v>45</v>
      </c>
      <c r="R660" s="10" t="s">
        <v>1699</v>
      </c>
      <c r="S660" s="11"/>
      <c r="T660" s="6"/>
      <c r="U660" s="24" t="str">
        <f>HYPERLINK("https://media.infra-m.ru/2174/2174705/cover/2174705.jpg", "Обложка")</f>
        <v>Обложка</v>
      </c>
      <c r="V660" s="24" t="str">
        <f>HYPERLINK("https://znanium.ru/catalog/product/2174705", "Ознакомиться")</f>
        <v>Ознакомиться</v>
      </c>
      <c r="W660" s="8" t="s">
        <v>56</v>
      </c>
      <c r="X660" s="6" t="s">
        <v>3346</v>
      </c>
      <c r="Y660" s="6"/>
      <c r="Z660" s="6"/>
      <c r="AA660" s="6" t="s">
        <v>360</v>
      </c>
      <c r="AB660" s="8"/>
    </row>
    <row r="661" spans="1:28" s="4" customFormat="1" ht="51.95" customHeight="1">
      <c r="A661" s="5">
        <v>0</v>
      </c>
      <c r="B661" s="6" t="s">
        <v>3937</v>
      </c>
      <c r="C661" s="13">
        <v>636</v>
      </c>
      <c r="D661" s="8" t="s">
        <v>3938</v>
      </c>
      <c r="E661" s="8" t="s">
        <v>3939</v>
      </c>
      <c r="F661" s="8" t="s">
        <v>3940</v>
      </c>
      <c r="G661" s="6" t="s">
        <v>38</v>
      </c>
      <c r="H661" s="6" t="s">
        <v>39</v>
      </c>
      <c r="I661" s="8" t="s">
        <v>40</v>
      </c>
      <c r="J661" s="9">
        <v>1</v>
      </c>
      <c r="K661" s="9">
        <v>112</v>
      </c>
      <c r="L661" s="9">
        <v>2023</v>
      </c>
      <c r="M661" s="8" t="s">
        <v>3941</v>
      </c>
      <c r="N661" s="8" t="s">
        <v>42</v>
      </c>
      <c r="O661" s="8" t="s">
        <v>43</v>
      </c>
      <c r="P661" s="6" t="s">
        <v>44</v>
      </c>
      <c r="Q661" s="8" t="s">
        <v>45</v>
      </c>
      <c r="R661" s="10" t="s">
        <v>3942</v>
      </c>
      <c r="S661" s="11"/>
      <c r="T661" s="6"/>
      <c r="U661" s="24" t="str">
        <f>HYPERLINK("https://media.infra-m.ru/2017/2017322/cover/2017322.jpg", "Обложка")</f>
        <v>Обложка</v>
      </c>
      <c r="V661" s="24" t="str">
        <f>HYPERLINK("https://znanium.ru/catalog/product/2017322", "Ознакомиться")</f>
        <v>Ознакомиться</v>
      </c>
      <c r="W661" s="8" t="s">
        <v>936</v>
      </c>
      <c r="X661" s="6"/>
      <c r="Y661" s="6"/>
      <c r="Z661" s="6"/>
      <c r="AA661" s="6" t="s">
        <v>138</v>
      </c>
      <c r="AB661" s="8"/>
    </row>
    <row r="662" spans="1:28" s="4" customFormat="1" ht="51.95" customHeight="1">
      <c r="A662" s="5">
        <v>0</v>
      </c>
      <c r="B662" s="6" t="s">
        <v>3943</v>
      </c>
      <c r="C662" s="13">
        <v>672</v>
      </c>
      <c r="D662" s="8" t="s">
        <v>3944</v>
      </c>
      <c r="E662" s="8" t="s">
        <v>3945</v>
      </c>
      <c r="F662" s="8" t="s">
        <v>3946</v>
      </c>
      <c r="G662" s="6" t="s">
        <v>38</v>
      </c>
      <c r="H662" s="6" t="s">
        <v>531</v>
      </c>
      <c r="I662" s="8" t="s">
        <v>3947</v>
      </c>
      <c r="J662" s="9">
        <v>1</v>
      </c>
      <c r="K662" s="9">
        <v>179</v>
      </c>
      <c r="L662" s="9">
        <v>2018</v>
      </c>
      <c r="M662" s="8" t="s">
        <v>3948</v>
      </c>
      <c r="N662" s="8" t="s">
        <v>42</v>
      </c>
      <c r="O662" s="8" t="s">
        <v>72</v>
      </c>
      <c r="P662" s="6" t="s">
        <v>44</v>
      </c>
      <c r="Q662" s="8" t="s">
        <v>45</v>
      </c>
      <c r="R662" s="10" t="s">
        <v>534</v>
      </c>
      <c r="S662" s="11"/>
      <c r="T662" s="6"/>
      <c r="U662" s="24" t="str">
        <f>HYPERLINK("https://media.infra-m.ru/0908/0908035/cover/908035.jpg", "Обложка")</f>
        <v>Обложка</v>
      </c>
      <c r="V662" s="24" t="str">
        <f>HYPERLINK("https://znanium.ru/catalog/product/908035", "Ознакомиться")</f>
        <v>Ознакомиться</v>
      </c>
      <c r="W662" s="8" t="s">
        <v>147</v>
      </c>
      <c r="X662" s="6"/>
      <c r="Y662" s="6"/>
      <c r="Z662" s="6"/>
      <c r="AA662" s="6" t="s">
        <v>138</v>
      </c>
      <c r="AB662" s="8"/>
    </row>
    <row r="663" spans="1:28" s="4" customFormat="1" ht="51.95" customHeight="1">
      <c r="A663" s="5">
        <v>0</v>
      </c>
      <c r="B663" s="6" t="s">
        <v>3949</v>
      </c>
      <c r="C663" s="7">
        <v>1272</v>
      </c>
      <c r="D663" s="8" t="s">
        <v>3950</v>
      </c>
      <c r="E663" s="8" t="s">
        <v>3951</v>
      </c>
      <c r="F663" s="8" t="s">
        <v>3952</v>
      </c>
      <c r="G663" s="6" t="s">
        <v>62</v>
      </c>
      <c r="H663" s="6" t="s">
        <v>39</v>
      </c>
      <c r="I663" s="8" t="s">
        <v>340</v>
      </c>
      <c r="J663" s="9">
        <v>1</v>
      </c>
      <c r="K663" s="9">
        <v>176</v>
      </c>
      <c r="L663" s="9">
        <v>2025</v>
      </c>
      <c r="M663" s="8" t="s">
        <v>3953</v>
      </c>
      <c r="N663" s="8" t="s">
        <v>177</v>
      </c>
      <c r="O663" s="8" t="s">
        <v>178</v>
      </c>
      <c r="P663" s="6" t="s">
        <v>459</v>
      </c>
      <c r="Q663" s="8" t="s">
        <v>180</v>
      </c>
      <c r="R663" s="10" t="s">
        <v>3954</v>
      </c>
      <c r="S663" s="11"/>
      <c r="T663" s="6"/>
      <c r="U663" s="24" t="str">
        <f>HYPERLINK("https://media.infra-m.ru/2200/2200001/cover/2200001.jpg", "Обложка")</f>
        <v>Обложка</v>
      </c>
      <c r="V663" s="24" t="str">
        <f>HYPERLINK("https://znanium.ru/catalog/product/2200001", "Ознакомиться")</f>
        <v>Ознакомиться</v>
      </c>
      <c r="W663" s="8" t="s">
        <v>3955</v>
      </c>
      <c r="X663" s="6"/>
      <c r="Y663" s="6"/>
      <c r="Z663" s="6"/>
      <c r="AA663" s="6" t="s">
        <v>48</v>
      </c>
      <c r="AB663" s="8"/>
    </row>
    <row r="664" spans="1:28" s="4" customFormat="1" ht="51.95" customHeight="1">
      <c r="A664" s="5">
        <v>0</v>
      </c>
      <c r="B664" s="6" t="s">
        <v>3956</v>
      </c>
      <c r="C664" s="7">
        <v>1188</v>
      </c>
      <c r="D664" s="8" t="s">
        <v>3957</v>
      </c>
      <c r="E664" s="8" t="s">
        <v>3958</v>
      </c>
      <c r="F664" s="8" t="s">
        <v>3959</v>
      </c>
      <c r="G664" s="6" t="s">
        <v>62</v>
      </c>
      <c r="H664" s="6" t="s">
        <v>167</v>
      </c>
      <c r="I664" s="8"/>
      <c r="J664" s="9">
        <v>1</v>
      </c>
      <c r="K664" s="9">
        <v>240</v>
      </c>
      <c r="L664" s="9">
        <v>2022</v>
      </c>
      <c r="M664" s="8" t="s">
        <v>3960</v>
      </c>
      <c r="N664" s="8" t="s">
        <v>119</v>
      </c>
      <c r="O664" s="8" t="s">
        <v>120</v>
      </c>
      <c r="P664" s="6" t="s">
        <v>169</v>
      </c>
      <c r="Q664" s="8" t="s">
        <v>180</v>
      </c>
      <c r="R664" s="10" t="s">
        <v>1383</v>
      </c>
      <c r="S664" s="11"/>
      <c r="T664" s="6"/>
      <c r="U664" s="24" t="str">
        <f>HYPERLINK("https://media.infra-m.ru/1872/1872304/cover/1872304.jpg", "Обложка")</f>
        <v>Обложка</v>
      </c>
      <c r="V664" s="24" t="str">
        <f>HYPERLINK("https://znanium.ru/catalog/product/1872304", "Ознакомиться")</f>
        <v>Ознакомиться</v>
      </c>
      <c r="W664" s="8" t="s">
        <v>505</v>
      </c>
      <c r="X664" s="6"/>
      <c r="Y664" s="6"/>
      <c r="Z664" s="6"/>
      <c r="AA664" s="6" t="s">
        <v>391</v>
      </c>
      <c r="AB664" s="8"/>
    </row>
    <row r="665" spans="1:28" s="4" customFormat="1" ht="42" customHeight="1">
      <c r="A665" s="5">
        <v>0</v>
      </c>
      <c r="B665" s="6" t="s">
        <v>3961</v>
      </c>
      <c r="C665" s="13">
        <v>652.79999999999995</v>
      </c>
      <c r="D665" s="8" t="s">
        <v>3962</v>
      </c>
      <c r="E665" s="8" t="s">
        <v>3963</v>
      </c>
      <c r="F665" s="8" t="s">
        <v>3964</v>
      </c>
      <c r="G665" s="6" t="s">
        <v>38</v>
      </c>
      <c r="H665" s="6" t="s">
        <v>39</v>
      </c>
      <c r="I665" s="8" t="s">
        <v>1529</v>
      </c>
      <c r="J665" s="9">
        <v>1</v>
      </c>
      <c r="K665" s="9">
        <v>119</v>
      </c>
      <c r="L665" s="9">
        <v>2023</v>
      </c>
      <c r="M665" s="8" t="s">
        <v>3965</v>
      </c>
      <c r="N665" s="8" t="s">
        <v>42</v>
      </c>
      <c r="O665" s="8" t="s">
        <v>72</v>
      </c>
      <c r="P665" s="6" t="s">
        <v>44</v>
      </c>
      <c r="Q665" s="8" t="s">
        <v>45</v>
      </c>
      <c r="R665" s="10" t="s">
        <v>1027</v>
      </c>
      <c r="S665" s="11"/>
      <c r="T665" s="6"/>
      <c r="U665" s="24" t="str">
        <f>HYPERLINK("https://media.infra-m.ru/2006/2006889/cover/2006889.jpg", "Обложка")</f>
        <v>Обложка</v>
      </c>
      <c r="V665" s="12"/>
      <c r="W665" s="8" t="s">
        <v>1532</v>
      </c>
      <c r="X665" s="6"/>
      <c r="Y665" s="6"/>
      <c r="Z665" s="6"/>
      <c r="AA665" s="6" t="s">
        <v>138</v>
      </c>
      <c r="AB665" s="8"/>
    </row>
    <row r="666" spans="1:28" s="4" customFormat="1" ht="51.95" customHeight="1">
      <c r="A666" s="5">
        <v>0</v>
      </c>
      <c r="B666" s="6" t="s">
        <v>3966</v>
      </c>
      <c r="C666" s="7">
        <v>2200.8000000000002</v>
      </c>
      <c r="D666" s="8" t="s">
        <v>3967</v>
      </c>
      <c r="E666" s="8" t="s">
        <v>3968</v>
      </c>
      <c r="F666" s="8" t="s">
        <v>3969</v>
      </c>
      <c r="G666" s="6" t="s">
        <v>62</v>
      </c>
      <c r="H666" s="6" t="s">
        <v>39</v>
      </c>
      <c r="I666" s="8" t="s">
        <v>40</v>
      </c>
      <c r="J666" s="9">
        <v>1</v>
      </c>
      <c r="K666" s="9">
        <v>395</v>
      </c>
      <c r="L666" s="9">
        <v>2024</v>
      </c>
      <c r="M666" s="8" t="s">
        <v>3970</v>
      </c>
      <c r="N666" s="8" t="s">
        <v>42</v>
      </c>
      <c r="O666" s="8" t="s">
        <v>72</v>
      </c>
      <c r="P666" s="6" t="s">
        <v>44</v>
      </c>
      <c r="Q666" s="8" t="s">
        <v>45</v>
      </c>
      <c r="R666" s="10" t="s">
        <v>3971</v>
      </c>
      <c r="S666" s="11"/>
      <c r="T666" s="6"/>
      <c r="U666" s="24" t="str">
        <f>HYPERLINK("https://media.infra-m.ru/2126/2126855/cover/2126855.jpg", "Обложка")</f>
        <v>Обложка</v>
      </c>
      <c r="V666" s="24" t="str">
        <f>HYPERLINK("https://znanium.ru/catalog/product/938069", "Ознакомиться")</f>
        <v>Ознакомиться</v>
      </c>
      <c r="W666" s="8" t="s">
        <v>1128</v>
      </c>
      <c r="X666" s="6"/>
      <c r="Y666" s="6"/>
      <c r="Z666" s="6"/>
      <c r="AA666" s="6" t="s">
        <v>273</v>
      </c>
      <c r="AB666" s="8"/>
    </row>
    <row r="667" spans="1:28" s="4" customFormat="1" ht="42" customHeight="1">
      <c r="A667" s="5">
        <v>0</v>
      </c>
      <c r="B667" s="6" t="s">
        <v>3972</v>
      </c>
      <c r="C667" s="13">
        <v>840</v>
      </c>
      <c r="D667" s="8" t="s">
        <v>3973</v>
      </c>
      <c r="E667" s="8" t="s">
        <v>3974</v>
      </c>
      <c r="F667" s="8" t="s">
        <v>291</v>
      </c>
      <c r="G667" s="6" t="s">
        <v>38</v>
      </c>
      <c r="H667" s="6" t="s">
        <v>39</v>
      </c>
      <c r="I667" s="8" t="s">
        <v>40</v>
      </c>
      <c r="J667" s="9">
        <v>1</v>
      </c>
      <c r="K667" s="9">
        <v>180</v>
      </c>
      <c r="L667" s="9">
        <v>2021</v>
      </c>
      <c r="M667" s="8" t="s">
        <v>3975</v>
      </c>
      <c r="N667" s="8" t="s">
        <v>42</v>
      </c>
      <c r="O667" s="8" t="s">
        <v>72</v>
      </c>
      <c r="P667" s="6" t="s">
        <v>44</v>
      </c>
      <c r="Q667" s="8" t="s">
        <v>45</v>
      </c>
      <c r="R667" s="10" t="s">
        <v>127</v>
      </c>
      <c r="S667" s="11"/>
      <c r="T667" s="6"/>
      <c r="U667" s="24" t="str">
        <f>HYPERLINK("https://media.infra-m.ru/1074/1074108/cover/1074108.jpg", "Обложка")</f>
        <v>Обложка</v>
      </c>
      <c r="V667" s="24" t="str">
        <f>HYPERLINK("https://znanium.ru/catalog/product/1074108", "Ознакомиться")</f>
        <v>Ознакомиться</v>
      </c>
      <c r="W667" s="8" t="s">
        <v>293</v>
      </c>
      <c r="X667" s="6"/>
      <c r="Y667" s="6"/>
      <c r="Z667" s="6"/>
      <c r="AA667" s="6" t="s">
        <v>129</v>
      </c>
      <c r="AB667" s="8"/>
    </row>
    <row r="668" spans="1:28" s="4" customFormat="1" ht="51.95" customHeight="1">
      <c r="A668" s="5">
        <v>0</v>
      </c>
      <c r="B668" s="6" t="s">
        <v>3976</v>
      </c>
      <c r="C668" s="7">
        <v>3172.8</v>
      </c>
      <c r="D668" s="8" t="s">
        <v>3977</v>
      </c>
      <c r="E668" s="8" t="s">
        <v>3978</v>
      </c>
      <c r="F668" s="8" t="s">
        <v>3979</v>
      </c>
      <c r="G668" s="6" t="s">
        <v>62</v>
      </c>
      <c r="H668" s="6" t="s">
        <v>167</v>
      </c>
      <c r="I668" s="8"/>
      <c r="J668" s="9">
        <v>1</v>
      </c>
      <c r="K668" s="9">
        <v>640</v>
      </c>
      <c r="L668" s="9">
        <v>2026</v>
      </c>
      <c r="M668" s="8" t="s">
        <v>3980</v>
      </c>
      <c r="N668" s="8" t="s">
        <v>119</v>
      </c>
      <c r="O668" s="8" t="s">
        <v>120</v>
      </c>
      <c r="P668" s="6" t="s">
        <v>199</v>
      </c>
      <c r="Q668" s="8" t="s">
        <v>200</v>
      </c>
      <c r="R668" s="10" t="s">
        <v>3981</v>
      </c>
      <c r="S668" s="11" t="s">
        <v>3982</v>
      </c>
      <c r="T668" s="6"/>
      <c r="U668" s="24" t="str">
        <f>HYPERLINK("https://media.infra-m.ru/2218/2218221/cover/2218221.jpg", "Обложка")</f>
        <v>Обложка</v>
      </c>
      <c r="V668" s="24" t="str">
        <f>HYPERLINK("https://znanium.ru/catalog/product/1817818", "Ознакомиться")</f>
        <v>Ознакомиться</v>
      </c>
      <c r="W668" s="8" t="s">
        <v>3983</v>
      </c>
      <c r="X668" s="6"/>
      <c r="Y668" s="6"/>
      <c r="Z668" s="6"/>
      <c r="AA668" s="6" t="s">
        <v>3984</v>
      </c>
      <c r="AB668" s="8"/>
    </row>
    <row r="669" spans="1:28" s="4" customFormat="1" ht="42" customHeight="1">
      <c r="A669" s="5">
        <v>0</v>
      </c>
      <c r="B669" s="6" t="s">
        <v>3985</v>
      </c>
      <c r="C669" s="7">
        <v>1476</v>
      </c>
      <c r="D669" s="8" t="s">
        <v>3986</v>
      </c>
      <c r="E669" s="8" t="s">
        <v>3987</v>
      </c>
      <c r="F669" s="8" t="s">
        <v>3988</v>
      </c>
      <c r="G669" s="6" t="s">
        <v>38</v>
      </c>
      <c r="H669" s="6" t="s">
        <v>39</v>
      </c>
      <c r="I669" s="8" t="s">
        <v>40</v>
      </c>
      <c r="J669" s="9">
        <v>1</v>
      </c>
      <c r="K669" s="9">
        <v>273</v>
      </c>
      <c r="L669" s="9">
        <v>2021</v>
      </c>
      <c r="M669" s="8" t="s">
        <v>3989</v>
      </c>
      <c r="N669" s="8" t="s">
        <v>144</v>
      </c>
      <c r="O669" s="8" t="s">
        <v>145</v>
      </c>
      <c r="P669" s="6" t="s">
        <v>44</v>
      </c>
      <c r="Q669" s="8" t="s">
        <v>45</v>
      </c>
      <c r="R669" s="10" t="s">
        <v>233</v>
      </c>
      <c r="S669" s="11"/>
      <c r="T669" s="6"/>
      <c r="U669" s="24" t="str">
        <f>HYPERLINK("https://media.infra-m.ru/1947/1947401/cover/1947401.jpg", "Обложка")</f>
        <v>Обложка</v>
      </c>
      <c r="V669" s="24" t="str">
        <f>HYPERLINK("https://znanium.ru/catalog/product/1098272", "Ознакомиться")</f>
        <v>Ознакомиться</v>
      </c>
      <c r="W669" s="8" t="s">
        <v>929</v>
      </c>
      <c r="X669" s="6"/>
      <c r="Y669" s="6"/>
      <c r="Z669" s="6"/>
      <c r="AA669" s="6" t="s">
        <v>129</v>
      </c>
      <c r="AB669" s="8"/>
    </row>
    <row r="670" spans="1:28" s="4" customFormat="1" ht="44.1" customHeight="1">
      <c r="A670" s="5">
        <v>0</v>
      </c>
      <c r="B670" s="6" t="s">
        <v>3990</v>
      </c>
      <c r="C670" s="13">
        <v>796.8</v>
      </c>
      <c r="D670" s="8" t="s">
        <v>3991</v>
      </c>
      <c r="E670" s="8" t="s">
        <v>3992</v>
      </c>
      <c r="F670" s="8" t="s">
        <v>3993</v>
      </c>
      <c r="G670" s="6" t="s">
        <v>38</v>
      </c>
      <c r="H670" s="6" t="s">
        <v>39</v>
      </c>
      <c r="I670" s="8" t="s">
        <v>40</v>
      </c>
      <c r="J670" s="9">
        <v>1</v>
      </c>
      <c r="K670" s="9">
        <v>145</v>
      </c>
      <c r="L670" s="9">
        <v>2023</v>
      </c>
      <c r="M670" s="8" t="s">
        <v>3994</v>
      </c>
      <c r="N670" s="8" t="s">
        <v>144</v>
      </c>
      <c r="O670" s="8" t="s">
        <v>145</v>
      </c>
      <c r="P670" s="6" t="s">
        <v>44</v>
      </c>
      <c r="Q670" s="8" t="s">
        <v>45</v>
      </c>
      <c r="R670" s="10" t="s">
        <v>3995</v>
      </c>
      <c r="S670" s="11"/>
      <c r="T670" s="6"/>
      <c r="U670" s="24" t="str">
        <f>HYPERLINK("https://media.infra-m.ru/2080/2080758/cover/2080758.jpg", "Обложка")</f>
        <v>Обложка</v>
      </c>
      <c r="V670" s="24" t="str">
        <f>HYPERLINK("https://znanium.ru/catalog/product/1931492", "Ознакомиться")</f>
        <v>Ознакомиться</v>
      </c>
      <c r="W670" s="8" t="s">
        <v>3996</v>
      </c>
      <c r="X670" s="6"/>
      <c r="Y670" s="6"/>
      <c r="Z670" s="6"/>
      <c r="AA670" s="6" t="s">
        <v>300</v>
      </c>
      <c r="AB670" s="8"/>
    </row>
    <row r="671" spans="1:28" s="4" customFormat="1" ht="51.95" customHeight="1">
      <c r="A671" s="5">
        <v>0</v>
      </c>
      <c r="B671" s="6" t="s">
        <v>3997</v>
      </c>
      <c r="C671" s="7">
        <v>1296</v>
      </c>
      <c r="D671" s="8" t="s">
        <v>3998</v>
      </c>
      <c r="E671" s="8" t="s">
        <v>3999</v>
      </c>
      <c r="F671" s="8" t="s">
        <v>4000</v>
      </c>
      <c r="G671" s="6" t="s">
        <v>62</v>
      </c>
      <c r="H671" s="6" t="s">
        <v>39</v>
      </c>
      <c r="I671" s="8" t="s">
        <v>340</v>
      </c>
      <c r="J671" s="9">
        <v>1</v>
      </c>
      <c r="K671" s="9">
        <v>240</v>
      </c>
      <c r="L671" s="9">
        <v>2023</v>
      </c>
      <c r="M671" s="8" t="s">
        <v>4001</v>
      </c>
      <c r="N671" s="8" t="s">
        <v>119</v>
      </c>
      <c r="O671" s="8" t="s">
        <v>162</v>
      </c>
      <c r="P671" s="6" t="s">
        <v>271</v>
      </c>
      <c r="Q671" s="8" t="s">
        <v>45</v>
      </c>
      <c r="R671" s="10" t="s">
        <v>4002</v>
      </c>
      <c r="S671" s="11"/>
      <c r="T671" s="6"/>
      <c r="U671" s="24" t="str">
        <f>HYPERLINK("https://media.infra-m.ru/1920/1920496/cover/1920496.jpg", "Обложка")</f>
        <v>Обложка</v>
      </c>
      <c r="V671" s="24" t="str">
        <f>HYPERLINK("https://znanium.ru/catalog/product/1920496", "Ознакомиться")</f>
        <v>Ознакомиться</v>
      </c>
      <c r="W671" s="8" t="s">
        <v>309</v>
      </c>
      <c r="X671" s="6"/>
      <c r="Y671" s="6"/>
      <c r="Z671" s="6"/>
      <c r="AA671" s="6" t="s">
        <v>242</v>
      </c>
      <c r="AB671" s="8"/>
    </row>
    <row r="672" spans="1:28" s="4" customFormat="1" ht="51.95" customHeight="1">
      <c r="A672" s="5">
        <v>0</v>
      </c>
      <c r="B672" s="6" t="s">
        <v>4003</v>
      </c>
      <c r="C672" s="13">
        <v>648</v>
      </c>
      <c r="D672" s="8" t="s">
        <v>4004</v>
      </c>
      <c r="E672" s="8" t="s">
        <v>4005</v>
      </c>
      <c r="F672" s="8" t="s">
        <v>4006</v>
      </c>
      <c r="G672" s="6" t="s">
        <v>38</v>
      </c>
      <c r="H672" s="6" t="s">
        <v>39</v>
      </c>
      <c r="I672" s="8" t="s">
        <v>1641</v>
      </c>
      <c r="J672" s="9">
        <v>1</v>
      </c>
      <c r="K672" s="9">
        <v>116</v>
      </c>
      <c r="L672" s="9">
        <v>2024</v>
      </c>
      <c r="M672" s="8" t="s">
        <v>4007</v>
      </c>
      <c r="N672" s="8" t="s">
        <v>119</v>
      </c>
      <c r="O672" s="8" t="s">
        <v>162</v>
      </c>
      <c r="P672" s="6" t="s">
        <v>271</v>
      </c>
      <c r="Q672" s="8" t="s">
        <v>45</v>
      </c>
      <c r="R672" s="10" t="s">
        <v>4008</v>
      </c>
      <c r="S672" s="11"/>
      <c r="T672" s="6"/>
      <c r="U672" s="24" t="str">
        <f>HYPERLINK("https://media.infra-m.ru/2083/2083908/cover/2083908.jpg", "Обложка")</f>
        <v>Обложка</v>
      </c>
      <c r="V672" s="24" t="str">
        <f>HYPERLINK("https://znanium.ru/catalog/product/2083908", "Ознакомиться")</f>
        <v>Ознакомиться</v>
      </c>
      <c r="W672" s="8" t="s">
        <v>309</v>
      </c>
      <c r="X672" s="6"/>
      <c r="Y672" s="6"/>
      <c r="Z672" s="6"/>
      <c r="AA672" s="6" t="s">
        <v>470</v>
      </c>
      <c r="AB672" s="8"/>
    </row>
    <row r="673" spans="1:28" s="4" customFormat="1" ht="42" customHeight="1">
      <c r="A673" s="5">
        <v>0</v>
      </c>
      <c r="B673" s="6" t="s">
        <v>4009</v>
      </c>
      <c r="C673" s="7">
        <v>1044</v>
      </c>
      <c r="D673" s="8" t="s">
        <v>4010</v>
      </c>
      <c r="E673" s="8" t="s">
        <v>4011</v>
      </c>
      <c r="F673" s="8" t="s">
        <v>291</v>
      </c>
      <c r="G673" s="6" t="s">
        <v>38</v>
      </c>
      <c r="H673" s="6" t="s">
        <v>39</v>
      </c>
      <c r="I673" s="8" t="s">
        <v>40</v>
      </c>
      <c r="J673" s="9">
        <v>1</v>
      </c>
      <c r="K673" s="9">
        <v>228</v>
      </c>
      <c r="L673" s="9">
        <v>2021</v>
      </c>
      <c r="M673" s="8" t="s">
        <v>4012</v>
      </c>
      <c r="N673" s="8" t="s">
        <v>42</v>
      </c>
      <c r="O673" s="8" t="s">
        <v>72</v>
      </c>
      <c r="P673" s="6" t="s">
        <v>44</v>
      </c>
      <c r="Q673" s="8" t="s">
        <v>45</v>
      </c>
      <c r="R673" s="10" t="s">
        <v>127</v>
      </c>
      <c r="S673" s="11"/>
      <c r="T673" s="6"/>
      <c r="U673" s="24" t="str">
        <f>HYPERLINK("https://media.infra-m.ru/1088/1088340/cover/1088340.jpg", "Обложка")</f>
        <v>Обложка</v>
      </c>
      <c r="V673" s="24" t="str">
        <f>HYPERLINK("https://znanium.ru/catalog/product/1088340", "Ознакомиться")</f>
        <v>Ознакомиться</v>
      </c>
      <c r="W673" s="8" t="s">
        <v>293</v>
      </c>
      <c r="X673" s="6"/>
      <c r="Y673" s="6"/>
      <c r="Z673" s="6"/>
      <c r="AA673" s="6" t="s">
        <v>129</v>
      </c>
      <c r="AB673" s="8"/>
    </row>
    <row r="674" spans="1:28" s="4" customFormat="1" ht="42" customHeight="1">
      <c r="A674" s="5">
        <v>0</v>
      </c>
      <c r="B674" s="6" t="s">
        <v>4013</v>
      </c>
      <c r="C674" s="7">
        <v>6000</v>
      </c>
      <c r="D674" s="8" t="s">
        <v>4014</v>
      </c>
      <c r="E674" s="8" t="s">
        <v>4015</v>
      </c>
      <c r="F674" s="8" t="s">
        <v>4016</v>
      </c>
      <c r="G674" s="6" t="s">
        <v>62</v>
      </c>
      <c r="H674" s="6" t="s">
        <v>39</v>
      </c>
      <c r="I674" s="8" t="s">
        <v>40</v>
      </c>
      <c r="J674" s="9">
        <v>1</v>
      </c>
      <c r="K674" s="9">
        <v>1063</v>
      </c>
      <c r="L674" s="9">
        <v>2025</v>
      </c>
      <c r="M674" s="8" t="s">
        <v>4017</v>
      </c>
      <c r="N674" s="8" t="s">
        <v>42</v>
      </c>
      <c r="O674" s="8" t="s">
        <v>43</v>
      </c>
      <c r="P674" s="6" t="s">
        <v>44</v>
      </c>
      <c r="Q674" s="8" t="s">
        <v>45</v>
      </c>
      <c r="R674" s="10" t="s">
        <v>492</v>
      </c>
      <c r="S674" s="11"/>
      <c r="T674" s="6"/>
      <c r="U674" s="24" t="str">
        <f>HYPERLINK("https://media.infra-m.ru/2198/2198970/cover/2198970.jpg", "Обложка")</f>
        <v>Обложка</v>
      </c>
      <c r="V674" s="24" t="str">
        <f>HYPERLINK("https://znanium.ru/catalog/product/2198970", "Ознакомиться")</f>
        <v>Ознакомиться</v>
      </c>
      <c r="W674" s="8" t="s">
        <v>2132</v>
      </c>
      <c r="X674" s="6" t="s">
        <v>1407</v>
      </c>
      <c r="Y674" s="6"/>
      <c r="Z674" s="6"/>
      <c r="AA674" s="6" t="s">
        <v>360</v>
      </c>
      <c r="AB674" s="8"/>
    </row>
    <row r="675" spans="1:28" s="4" customFormat="1" ht="44.1" customHeight="1">
      <c r="A675" s="5">
        <v>0</v>
      </c>
      <c r="B675" s="6" t="s">
        <v>4018</v>
      </c>
      <c r="C675" s="7">
        <v>1070.3</v>
      </c>
      <c r="D675" s="8" t="s">
        <v>4019</v>
      </c>
      <c r="E675" s="8" t="s">
        <v>4020</v>
      </c>
      <c r="F675" s="8" t="s">
        <v>4021</v>
      </c>
      <c r="G675" s="6" t="s">
        <v>96</v>
      </c>
      <c r="H675" s="6" t="s">
        <v>39</v>
      </c>
      <c r="I675" s="8"/>
      <c r="J675" s="9">
        <v>1</v>
      </c>
      <c r="K675" s="9">
        <v>150</v>
      </c>
      <c r="L675" s="9">
        <v>2020</v>
      </c>
      <c r="M675" s="8" t="s">
        <v>4022</v>
      </c>
      <c r="N675" s="8" t="s">
        <v>177</v>
      </c>
      <c r="O675" s="8" t="s">
        <v>524</v>
      </c>
      <c r="P675" s="6" t="s">
        <v>4023</v>
      </c>
      <c r="Q675" s="8" t="s">
        <v>1354</v>
      </c>
      <c r="R675" s="10" t="s">
        <v>4024</v>
      </c>
      <c r="S675" s="11"/>
      <c r="T675" s="6"/>
      <c r="U675" s="24" t="str">
        <f>HYPERLINK("https://media.infra-m.ru/1208/1208559/cover/1208559.jpg", "Обложка")</f>
        <v>Обложка</v>
      </c>
      <c r="V675" s="24" t="str">
        <f>HYPERLINK("https://znanium.ru/catalog/product/1215125", "Ознакомиться")</f>
        <v>Ознакомиться</v>
      </c>
      <c r="W675" s="8" t="s">
        <v>4025</v>
      </c>
      <c r="X675" s="6"/>
      <c r="Y675" s="6"/>
      <c r="Z675" s="6"/>
      <c r="AA675" s="6" t="s">
        <v>391</v>
      </c>
      <c r="AB675" s="8"/>
    </row>
    <row r="676" spans="1:28" s="4" customFormat="1" ht="51.95" customHeight="1">
      <c r="A676" s="5">
        <v>0</v>
      </c>
      <c r="B676" s="6" t="s">
        <v>4026</v>
      </c>
      <c r="C676" s="7">
        <v>1046.3</v>
      </c>
      <c r="D676" s="8" t="s">
        <v>4027</v>
      </c>
      <c r="E676" s="8" t="s">
        <v>4028</v>
      </c>
      <c r="F676" s="8" t="s">
        <v>4029</v>
      </c>
      <c r="G676" s="6" t="s">
        <v>96</v>
      </c>
      <c r="H676" s="6" t="s">
        <v>39</v>
      </c>
      <c r="I676" s="8"/>
      <c r="J676" s="9">
        <v>1</v>
      </c>
      <c r="K676" s="9">
        <v>91</v>
      </c>
      <c r="L676" s="9">
        <v>2020</v>
      </c>
      <c r="M676" s="8" t="s">
        <v>4030</v>
      </c>
      <c r="N676" s="8" t="s">
        <v>177</v>
      </c>
      <c r="O676" s="8" t="s">
        <v>524</v>
      </c>
      <c r="P676" s="6" t="s">
        <v>4023</v>
      </c>
      <c r="Q676" s="8" t="s">
        <v>180</v>
      </c>
      <c r="R676" s="10" t="s">
        <v>4031</v>
      </c>
      <c r="S676" s="11"/>
      <c r="T676" s="6"/>
      <c r="U676" s="24" t="str">
        <f>HYPERLINK("https://media.infra-m.ru/1208/1208558/cover/1208558.jpg", "Обложка")</f>
        <v>Обложка</v>
      </c>
      <c r="V676" s="24" t="str">
        <f>HYPERLINK("https://znanium.ru/catalog/product/1232761", "Ознакомиться")</f>
        <v>Ознакомиться</v>
      </c>
      <c r="W676" s="8" t="s">
        <v>4025</v>
      </c>
      <c r="X676" s="6"/>
      <c r="Y676" s="6"/>
      <c r="Z676" s="6"/>
      <c r="AA676" s="6" t="s">
        <v>391</v>
      </c>
      <c r="AB676" s="8"/>
    </row>
    <row r="677" spans="1:28" s="4" customFormat="1" ht="51.95" customHeight="1">
      <c r="A677" s="5">
        <v>0</v>
      </c>
      <c r="B677" s="6" t="s">
        <v>4032</v>
      </c>
      <c r="C677" s="7">
        <v>1022.3</v>
      </c>
      <c r="D677" s="8" t="s">
        <v>4033</v>
      </c>
      <c r="E677" s="8" t="s">
        <v>4034</v>
      </c>
      <c r="F677" s="8" t="s">
        <v>4035</v>
      </c>
      <c r="G677" s="6" t="s">
        <v>96</v>
      </c>
      <c r="H677" s="6" t="s">
        <v>39</v>
      </c>
      <c r="I677" s="8"/>
      <c r="J677" s="9">
        <v>1</v>
      </c>
      <c r="K677" s="9">
        <v>51</v>
      </c>
      <c r="L677" s="9">
        <v>2020</v>
      </c>
      <c r="M677" s="8" t="s">
        <v>4036</v>
      </c>
      <c r="N677" s="8" t="s">
        <v>177</v>
      </c>
      <c r="O677" s="8" t="s">
        <v>524</v>
      </c>
      <c r="P677" s="6" t="s">
        <v>4023</v>
      </c>
      <c r="Q677" s="8" t="s">
        <v>1354</v>
      </c>
      <c r="R677" s="10" t="s">
        <v>4037</v>
      </c>
      <c r="S677" s="11"/>
      <c r="T677" s="6"/>
      <c r="U677" s="24" t="str">
        <f>HYPERLINK("https://media.infra-m.ru/1208/1208557/cover/1208557.jpg", "Обложка")</f>
        <v>Обложка</v>
      </c>
      <c r="V677" s="24" t="str">
        <f>HYPERLINK("https://znanium.ru/catalog/product/1232762", "Ознакомиться")</f>
        <v>Ознакомиться</v>
      </c>
      <c r="W677" s="8" t="s">
        <v>4025</v>
      </c>
      <c r="X677" s="6"/>
      <c r="Y677" s="6"/>
      <c r="Z677" s="6"/>
      <c r="AA677" s="6" t="s">
        <v>391</v>
      </c>
      <c r="AB677" s="8"/>
    </row>
    <row r="678" spans="1:28" s="4" customFormat="1" ht="51.95" customHeight="1">
      <c r="A678" s="5">
        <v>0</v>
      </c>
      <c r="B678" s="6" t="s">
        <v>4038</v>
      </c>
      <c r="C678" s="13">
        <v>996</v>
      </c>
      <c r="D678" s="8" t="s">
        <v>4039</v>
      </c>
      <c r="E678" s="8" t="s">
        <v>4040</v>
      </c>
      <c r="F678" s="8" t="s">
        <v>4041</v>
      </c>
      <c r="G678" s="6" t="s">
        <v>62</v>
      </c>
      <c r="H678" s="6" t="s">
        <v>39</v>
      </c>
      <c r="I678" s="8" t="s">
        <v>340</v>
      </c>
      <c r="J678" s="9">
        <v>1</v>
      </c>
      <c r="K678" s="9">
        <v>172</v>
      </c>
      <c r="L678" s="9">
        <v>2023</v>
      </c>
      <c r="M678" s="8" t="s">
        <v>4042</v>
      </c>
      <c r="N678" s="8" t="s">
        <v>423</v>
      </c>
      <c r="O678" s="8" t="s">
        <v>476</v>
      </c>
      <c r="P678" s="6" t="s">
        <v>459</v>
      </c>
      <c r="Q678" s="8" t="s">
        <v>45</v>
      </c>
      <c r="R678" s="10" t="s">
        <v>4043</v>
      </c>
      <c r="S678" s="11"/>
      <c r="T678" s="6"/>
      <c r="U678" s="24" t="str">
        <f>HYPERLINK("https://media.infra-m.ru/1859/1859022/cover/1859022.jpg", "Обложка")</f>
        <v>Обложка</v>
      </c>
      <c r="V678" s="24" t="str">
        <f>HYPERLINK("https://znanium.ru/catalog/product/1859022", "Ознакомиться")</f>
        <v>Ознакомиться</v>
      </c>
      <c r="W678" s="8" t="s">
        <v>4044</v>
      </c>
      <c r="X678" s="6"/>
      <c r="Y678" s="6"/>
      <c r="Z678" s="6"/>
      <c r="AA678" s="6" t="s">
        <v>1414</v>
      </c>
      <c r="AB678" s="8"/>
    </row>
    <row r="679" spans="1:28" s="4" customFormat="1" ht="51.95" customHeight="1">
      <c r="A679" s="5">
        <v>0</v>
      </c>
      <c r="B679" s="6" t="s">
        <v>4045</v>
      </c>
      <c r="C679" s="13">
        <v>796.8</v>
      </c>
      <c r="D679" s="8" t="s">
        <v>4046</v>
      </c>
      <c r="E679" s="8" t="s">
        <v>4047</v>
      </c>
      <c r="F679" s="8" t="s">
        <v>4048</v>
      </c>
      <c r="G679" s="6" t="s">
        <v>38</v>
      </c>
      <c r="H679" s="6" t="s">
        <v>39</v>
      </c>
      <c r="I679" s="8" t="s">
        <v>40</v>
      </c>
      <c r="J679" s="9">
        <v>1</v>
      </c>
      <c r="K679" s="9">
        <v>126</v>
      </c>
      <c r="L679" s="9">
        <v>2025</v>
      </c>
      <c r="M679" s="8" t="s">
        <v>4049</v>
      </c>
      <c r="N679" s="8" t="s">
        <v>42</v>
      </c>
      <c r="O679" s="8" t="s">
        <v>43</v>
      </c>
      <c r="P679" s="6" t="s">
        <v>44</v>
      </c>
      <c r="Q679" s="8" t="s">
        <v>45</v>
      </c>
      <c r="R679" s="10" t="s">
        <v>4050</v>
      </c>
      <c r="S679" s="11"/>
      <c r="T679" s="6"/>
      <c r="U679" s="24" t="str">
        <f>HYPERLINK("https://media.infra-m.ru/2196/2196122/cover/2196122.jpg", "Обложка")</f>
        <v>Обложка</v>
      </c>
      <c r="V679" s="24" t="str">
        <f>HYPERLINK("https://znanium.ru/catalog/product/1003012", "Ознакомиться")</f>
        <v>Ознакомиться</v>
      </c>
      <c r="W679" s="8" t="s">
        <v>760</v>
      </c>
      <c r="X679" s="6"/>
      <c r="Y679" s="6"/>
      <c r="Z679" s="6"/>
      <c r="AA679" s="6" t="s">
        <v>213</v>
      </c>
      <c r="AB679" s="8"/>
    </row>
    <row r="680" spans="1:28" s="4" customFormat="1" ht="42" customHeight="1">
      <c r="A680" s="5">
        <v>0</v>
      </c>
      <c r="B680" s="6" t="s">
        <v>4051</v>
      </c>
      <c r="C680" s="13">
        <v>588</v>
      </c>
      <c r="D680" s="8" t="s">
        <v>4052</v>
      </c>
      <c r="E680" s="8" t="s">
        <v>4053</v>
      </c>
      <c r="F680" s="8" t="s">
        <v>4054</v>
      </c>
      <c r="G680" s="6" t="s">
        <v>38</v>
      </c>
      <c r="H680" s="6" t="s">
        <v>39</v>
      </c>
      <c r="I680" s="8" t="s">
        <v>40</v>
      </c>
      <c r="J680" s="9">
        <v>1</v>
      </c>
      <c r="K680" s="9">
        <v>144</v>
      </c>
      <c r="L680" s="9">
        <v>2020</v>
      </c>
      <c r="M680" s="8" t="s">
        <v>4055</v>
      </c>
      <c r="N680" s="8" t="s">
        <v>42</v>
      </c>
      <c r="O680" s="8" t="s">
        <v>43</v>
      </c>
      <c r="P680" s="6" t="s">
        <v>44</v>
      </c>
      <c r="Q680" s="8" t="s">
        <v>45</v>
      </c>
      <c r="R680" s="10" t="s">
        <v>4056</v>
      </c>
      <c r="S680" s="11"/>
      <c r="T680" s="6"/>
      <c r="U680" s="24" t="str">
        <f>HYPERLINK("https://media.infra-m.ru/1036/1036520/cover/1036520.jpg", "Обложка")</f>
        <v>Обложка</v>
      </c>
      <c r="V680" s="24" t="str">
        <f>HYPERLINK("https://znanium.ru/catalog/product/1036520", "Ознакомиться")</f>
        <v>Ознакомиться</v>
      </c>
      <c r="W680" s="8" t="s">
        <v>329</v>
      </c>
      <c r="X680" s="6"/>
      <c r="Y680" s="6"/>
      <c r="Z680" s="6"/>
      <c r="AA680" s="6" t="s">
        <v>470</v>
      </c>
      <c r="AB680" s="8"/>
    </row>
    <row r="681" spans="1:28" s="4" customFormat="1" ht="44.1" customHeight="1">
      <c r="A681" s="5">
        <v>0</v>
      </c>
      <c r="B681" s="6" t="s">
        <v>4057</v>
      </c>
      <c r="C681" s="7">
        <v>1168.8</v>
      </c>
      <c r="D681" s="8" t="s">
        <v>4058</v>
      </c>
      <c r="E681" s="8" t="s">
        <v>4059</v>
      </c>
      <c r="F681" s="8" t="s">
        <v>4060</v>
      </c>
      <c r="G681" s="6" t="s">
        <v>38</v>
      </c>
      <c r="H681" s="6" t="s">
        <v>39</v>
      </c>
      <c r="I681" s="8" t="s">
        <v>2764</v>
      </c>
      <c r="J681" s="9">
        <v>1</v>
      </c>
      <c r="K681" s="9">
        <v>206</v>
      </c>
      <c r="L681" s="9">
        <v>2024</v>
      </c>
      <c r="M681" s="8" t="s">
        <v>4061</v>
      </c>
      <c r="N681" s="8" t="s">
        <v>177</v>
      </c>
      <c r="O681" s="8" t="s">
        <v>4062</v>
      </c>
      <c r="P681" s="6" t="s">
        <v>425</v>
      </c>
      <c r="Q681" s="8" t="s">
        <v>45</v>
      </c>
      <c r="R681" s="10" t="s">
        <v>4063</v>
      </c>
      <c r="S681" s="11"/>
      <c r="T681" s="6"/>
      <c r="U681" s="24" t="str">
        <f>HYPERLINK("https://media.infra-m.ru/2152/2152063/cover/2152063.jpg", "Обложка")</f>
        <v>Обложка</v>
      </c>
      <c r="V681" s="24" t="str">
        <f>HYPERLINK("https://znanium.ru/catalog/product/1002710", "Ознакомиться")</f>
        <v>Ознакомиться</v>
      </c>
      <c r="W681" s="8" t="s">
        <v>4064</v>
      </c>
      <c r="X681" s="6"/>
      <c r="Y681" s="6"/>
      <c r="Z681" s="6"/>
      <c r="AA681" s="6" t="s">
        <v>470</v>
      </c>
      <c r="AB681" s="8"/>
    </row>
    <row r="682" spans="1:28" s="4" customFormat="1" ht="33" customHeight="1">
      <c r="A682" s="5">
        <v>0</v>
      </c>
      <c r="B682" s="6" t="s">
        <v>4065</v>
      </c>
      <c r="C682" s="7">
        <v>2483.8000000000002</v>
      </c>
      <c r="D682" s="8" t="s">
        <v>4066</v>
      </c>
      <c r="E682" s="8" t="s">
        <v>4067</v>
      </c>
      <c r="F682" s="8" t="s">
        <v>4068</v>
      </c>
      <c r="G682" s="6" t="s">
        <v>96</v>
      </c>
      <c r="H682" s="6" t="s">
        <v>39</v>
      </c>
      <c r="I682" s="8"/>
      <c r="J682" s="9">
        <v>1</v>
      </c>
      <c r="K682" s="9">
        <v>850</v>
      </c>
      <c r="L682" s="9">
        <v>2019</v>
      </c>
      <c r="M682" s="8"/>
      <c r="N682" s="8" t="s">
        <v>423</v>
      </c>
      <c r="O682" s="8" t="s">
        <v>450</v>
      </c>
      <c r="P682" s="6" t="s">
        <v>4069</v>
      </c>
      <c r="Q682" s="8" t="s">
        <v>200</v>
      </c>
      <c r="R682" s="10"/>
      <c r="S682" s="11"/>
      <c r="T682" s="6"/>
      <c r="U682" s="12"/>
      <c r="V682" s="12"/>
      <c r="W682" s="8" t="s">
        <v>156</v>
      </c>
      <c r="X682" s="6"/>
      <c r="Y682" s="6"/>
      <c r="Z682" s="6"/>
      <c r="AA682" s="6" t="s">
        <v>57</v>
      </c>
      <c r="AB682" s="8"/>
    </row>
    <row r="683" spans="1:28" s="4" customFormat="1" ht="42" customHeight="1">
      <c r="A683" s="5">
        <v>0</v>
      </c>
      <c r="B683" s="6" t="s">
        <v>4070</v>
      </c>
      <c r="C683" s="7">
        <v>1116</v>
      </c>
      <c r="D683" s="8" t="s">
        <v>4071</v>
      </c>
      <c r="E683" s="8" t="s">
        <v>4072</v>
      </c>
      <c r="F683" s="8" t="s">
        <v>4073</v>
      </c>
      <c r="G683" s="6" t="s">
        <v>38</v>
      </c>
      <c r="H683" s="6" t="s">
        <v>39</v>
      </c>
      <c r="I683" s="8" t="s">
        <v>40</v>
      </c>
      <c r="J683" s="9">
        <v>1</v>
      </c>
      <c r="K683" s="9">
        <v>174</v>
      </c>
      <c r="L683" s="9">
        <v>2026</v>
      </c>
      <c r="M683" s="8" t="s">
        <v>4074</v>
      </c>
      <c r="N683" s="8" t="s">
        <v>144</v>
      </c>
      <c r="O683" s="8" t="s">
        <v>145</v>
      </c>
      <c r="P683" s="6" t="s">
        <v>44</v>
      </c>
      <c r="Q683" s="8" t="s">
        <v>45</v>
      </c>
      <c r="R683" s="10" t="s">
        <v>4075</v>
      </c>
      <c r="S683" s="11"/>
      <c r="T683" s="6"/>
      <c r="U683" s="24" t="str">
        <f>HYPERLINK("https://media.infra-m.ru/2221/2221664/cover/2221664.jpg", "Обложка")</f>
        <v>Обложка</v>
      </c>
      <c r="V683" s="24" t="str">
        <f>HYPERLINK("https://znanium.ru/catalog/product/2221664", "Ознакомиться")</f>
        <v>Ознакомиться</v>
      </c>
      <c r="W683" s="8" t="s">
        <v>558</v>
      </c>
      <c r="X683" s="6"/>
      <c r="Y683" s="6"/>
      <c r="Z683" s="6"/>
      <c r="AA683" s="6" t="s">
        <v>129</v>
      </c>
      <c r="AB683" s="8"/>
    </row>
    <row r="684" spans="1:28" s="4" customFormat="1" ht="51.95" customHeight="1">
      <c r="A684" s="5">
        <v>0</v>
      </c>
      <c r="B684" s="6" t="s">
        <v>4076</v>
      </c>
      <c r="C684" s="7">
        <v>1116</v>
      </c>
      <c r="D684" s="8" t="s">
        <v>4077</v>
      </c>
      <c r="E684" s="8" t="s">
        <v>4078</v>
      </c>
      <c r="F684" s="8" t="s">
        <v>395</v>
      </c>
      <c r="G684" s="6" t="s">
        <v>38</v>
      </c>
      <c r="H684" s="6" t="s">
        <v>39</v>
      </c>
      <c r="I684" s="8" t="s">
        <v>40</v>
      </c>
      <c r="J684" s="9">
        <v>1</v>
      </c>
      <c r="K684" s="9">
        <v>184</v>
      </c>
      <c r="L684" s="9">
        <v>2025</v>
      </c>
      <c r="M684" s="8" t="s">
        <v>4079</v>
      </c>
      <c r="N684" s="8" t="s">
        <v>42</v>
      </c>
      <c r="O684" s="8" t="s">
        <v>43</v>
      </c>
      <c r="P684" s="6" t="s">
        <v>44</v>
      </c>
      <c r="Q684" s="8" t="s">
        <v>45</v>
      </c>
      <c r="R684" s="10" t="s">
        <v>1719</v>
      </c>
      <c r="S684" s="11"/>
      <c r="T684" s="6"/>
      <c r="U684" s="24" t="str">
        <f>HYPERLINK("https://media.infra-m.ru/2172/2172555/cover/2172555.jpg", "Обложка")</f>
        <v>Обложка</v>
      </c>
      <c r="V684" s="24" t="str">
        <f>HYPERLINK("https://znanium.ru/catalog/product/2172555", "Ознакомиться")</f>
        <v>Ознакомиться</v>
      </c>
      <c r="W684" s="8" t="s">
        <v>358</v>
      </c>
      <c r="X684" s="6"/>
      <c r="Y684" s="6"/>
      <c r="Z684" s="6"/>
      <c r="AA684" s="6" t="s">
        <v>264</v>
      </c>
      <c r="AB684" s="8"/>
    </row>
    <row r="685" spans="1:28" s="4" customFormat="1" ht="51.95" customHeight="1">
      <c r="A685" s="5">
        <v>0</v>
      </c>
      <c r="B685" s="6" t="s">
        <v>4080</v>
      </c>
      <c r="C685" s="7">
        <v>2052</v>
      </c>
      <c r="D685" s="8" t="s">
        <v>4081</v>
      </c>
      <c r="E685" s="8" t="s">
        <v>4082</v>
      </c>
      <c r="F685" s="8" t="s">
        <v>4083</v>
      </c>
      <c r="G685" s="6" t="s">
        <v>96</v>
      </c>
      <c r="H685" s="6" t="s">
        <v>39</v>
      </c>
      <c r="I685" s="8" t="s">
        <v>40</v>
      </c>
      <c r="J685" s="9">
        <v>1</v>
      </c>
      <c r="K685" s="9">
        <v>379</v>
      </c>
      <c r="L685" s="9">
        <v>2023</v>
      </c>
      <c r="M685" s="8" t="s">
        <v>4084</v>
      </c>
      <c r="N685" s="8" t="s">
        <v>42</v>
      </c>
      <c r="O685" s="8" t="s">
        <v>43</v>
      </c>
      <c r="P685" s="6" t="s">
        <v>44</v>
      </c>
      <c r="Q685" s="8" t="s">
        <v>45</v>
      </c>
      <c r="R685" s="10" t="s">
        <v>4085</v>
      </c>
      <c r="S685" s="11"/>
      <c r="T685" s="6"/>
      <c r="U685" s="24" t="str">
        <f>HYPERLINK("https://media.infra-m.ru/1911/1911018/cover/1911018.jpg", "Обложка")</f>
        <v>Обложка</v>
      </c>
      <c r="V685" s="24" t="str">
        <f>HYPERLINK("https://znanium.ru/catalog/product/1911018", "Ознакомиться")</f>
        <v>Ознакомиться</v>
      </c>
      <c r="W685" s="8" t="s">
        <v>2132</v>
      </c>
      <c r="X685" s="6"/>
      <c r="Y685" s="6"/>
      <c r="Z685" s="6"/>
      <c r="AA685" s="6" t="s">
        <v>91</v>
      </c>
      <c r="AB685" s="8"/>
    </row>
    <row r="686" spans="1:28" s="4" customFormat="1" ht="44.1" customHeight="1">
      <c r="A686" s="5">
        <v>0</v>
      </c>
      <c r="B686" s="6" t="s">
        <v>4086</v>
      </c>
      <c r="C686" s="7">
        <v>1228.8</v>
      </c>
      <c r="D686" s="8" t="s">
        <v>4087</v>
      </c>
      <c r="E686" s="8" t="s">
        <v>4088</v>
      </c>
      <c r="F686" s="8" t="s">
        <v>4089</v>
      </c>
      <c r="G686" s="6" t="s">
        <v>38</v>
      </c>
      <c r="H686" s="6" t="s">
        <v>188</v>
      </c>
      <c r="I686" s="8"/>
      <c r="J686" s="9">
        <v>1</v>
      </c>
      <c r="K686" s="9">
        <v>205</v>
      </c>
      <c r="L686" s="9">
        <v>2025</v>
      </c>
      <c r="M686" s="8" t="s">
        <v>4090</v>
      </c>
      <c r="N686" s="8" t="s">
        <v>42</v>
      </c>
      <c r="O686" s="8" t="s">
        <v>89</v>
      </c>
      <c r="P686" s="6" t="s">
        <v>44</v>
      </c>
      <c r="Q686" s="8" t="s">
        <v>45</v>
      </c>
      <c r="R686" s="10" t="s">
        <v>4091</v>
      </c>
      <c r="S686" s="11"/>
      <c r="T686" s="6"/>
      <c r="U686" s="24" t="str">
        <f>HYPERLINK("https://media.infra-m.ru/2161/2161735/cover/2161735.jpg", "Обложка")</f>
        <v>Обложка</v>
      </c>
      <c r="V686" s="24" t="str">
        <f>HYPERLINK("https://znanium.ru/catalog/product/2161735", "Ознакомиться")</f>
        <v>Ознакомиться</v>
      </c>
      <c r="W686" s="8" t="s">
        <v>976</v>
      </c>
      <c r="X686" s="6"/>
      <c r="Y686" s="6"/>
      <c r="Z686" s="6"/>
      <c r="AA686" s="6" t="s">
        <v>75</v>
      </c>
      <c r="AB686" s="8"/>
    </row>
    <row r="687" spans="1:28" s="4" customFormat="1" ht="44.1" customHeight="1">
      <c r="A687" s="5">
        <v>0</v>
      </c>
      <c r="B687" s="6" t="s">
        <v>4092</v>
      </c>
      <c r="C687" s="7">
        <v>1380</v>
      </c>
      <c r="D687" s="8" t="s">
        <v>4093</v>
      </c>
      <c r="E687" s="8" t="s">
        <v>4094</v>
      </c>
      <c r="F687" s="8" t="s">
        <v>4095</v>
      </c>
      <c r="G687" s="6" t="s">
        <v>62</v>
      </c>
      <c r="H687" s="6" t="s">
        <v>39</v>
      </c>
      <c r="I687" s="8" t="s">
        <v>1529</v>
      </c>
      <c r="J687" s="9">
        <v>1</v>
      </c>
      <c r="K687" s="9">
        <v>242</v>
      </c>
      <c r="L687" s="9">
        <v>2024</v>
      </c>
      <c r="M687" s="8" t="s">
        <v>4096</v>
      </c>
      <c r="N687" s="8" t="s">
        <v>306</v>
      </c>
      <c r="O687" s="8" t="s">
        <v>307</v>
      </c>
      <c r="P687" s="6" t="s">
        <v>44</v>
      </c>
      <c r="Q687" s="8" t="s">
        <v>45</v>
      </c>
      <c r="R687" s="10" t="s">
        <v>4097</v>
      </c>
      <c r="S687" s="11"/>
      <c r="T687" s="6"/>
      <c r="U687" s="24" t="str">
        <f>HYPERLINK("https://media.infra-m.ru/2132/2132498/cover/2132498.jpg", "Обложка")</f>
        <v>Обложка</v>
      </c>
      <c r="V687" s="12"/>
      <c r="W687" s="8" t="s">
        <v>1532</v>
      </c>
      <c r="X687" s="6"/>
      <c r="Y687" s="6"/>
      <c r="Z687" s="6"/>
      <c r="AA687" s="6" t="s">
        <v>138</v>
      </c>
      <c r="AB687" s="8"/>
    </row>
    <row r="688" spans="1:28" s="4" customFormat="1" ht="42" customHeight="1">
      <c r="A688" s="5">
        <v>0</v>
      </c>
      <c r="B688" s="6" t="s">
        <v>4098</v>
      </c>
      <c r="C688" s="13">
        <v>928.8</v>
      </c>
      <c r="D688" s="8" t="s">
        <v>4099</v>
      </c>
      <c r="E688" s="8" t="s">
        <v>4100</v>
      </c>
      <c r="F688" s="8" t="s">
        <v>53</v>
      </c>
      <c r="G688" s="6" t="s">
        <v>38</v>
      </c>
      <c r="H688" s="6" t="s">
        <v>39</v>
      </c>
      <c r="I688" s="8" t="s">
        <v>40</v>
      </c>
      <c r="J688" s="9">
        <v>1</v>
      </c>
      <c r="K688" s="9">
        <v>155</v>
      </c>
      <c r="L688" s="9">
        <v>2025</v>
      </c>
      <c r="M688" s="8" t="s">
        <v>4101</v>
      </c>
      <c r="N688" s="8" t="s">
        <v>42</v>
      </c>
      <c r="O688" s="8" t="s">
        <v>43</v>
      </c>
      <c r="P688" s="6" t="s">
        <v>44</v>
      </c>
      <c r="Q688" s="8" t="s">
        <v>45</v>
      </c>
      <c r="R688" s="10" t="s">
        <v>518</v>
      </c>
      <c r="S688" s="11"/>
      <c r="T688" s="6"/>
      <c r="U688" s="24" t="str">
        <f>HYPERLINK("https://media.infra-m.ru/2188/2188195/cover/2188195.jpg", "Обложка")</f>
        <v>Обложка</v>
      </c>
      <c r="V688" s="24" t="str">
        <f>HYPERLINK("https://znanium.ru/catalog/product/1012661", "Ознакомиться")</f>
        <v>Ознакомиться</v>
      </c>
      <c r="W688" s="8" t="s">
        <v>56</v>
      </c>
      <c r="X688" s="6"/>
      <c r="Y688" s="6"/>
      <c r="Z688" s="6"/>
      <c r="AA688" s="6" t="s">
        <v>391</v>
      </c>
      <c r="AB688" s="8"/>
    </row>
    <row r="689" spans="1:28" s="4" customFormat="1" ht="51.95" customHeight="1">
      <c r="A689" s="5">
        <v>0</v>
      </c>
      <c r="B689" s="6" t="s">
        <v>4102</v>
      </c>
      <c r="C689" s="7">
        <v>1704</v>
      </c>
      <c r="D689" s="8" t="s">
        <v>4103</v>
      </c>
      <c r="E689" s="8" t="s">
        <v>4104</v>
      </c>
      <c r="F689" s="8" t="s">
        <v>4105</v>
      </c>
      <c r="G689" s="6" t="s">
        <v>62</v>
      </c>
      <c r="H689" s="6" t="s">
        <v>39</v>
      </c>
      <c r="I689" s="8" t="s">
        <v>340</v>
      </c>
      <c r="J689" s="9">
        <v>1</v>
      </c>
      <c r="K689" s="9">
        <v>300</v>
      </c>
      <c r="L689" s="9">
        <v>2024</v>
      </c>
      <c r="M689" s="8" t="s">
        <v>4106</v>
      </c>
      <c r="N689" s="8" t="s">
        <v>119</v>
      </c>
      <c r="O689" s="8" t="s">
        <v>613</v>
      </c>
      <c r="P689" s="6" t="s">
        <v>271</v>
      </c>
      <c r="Q689" s="8" t="s">
        <v>180</v>
      </c>
      <c r="R689" s="10" t="s">
        <v>4107</v>
      </c>
      <c r="S689" s="11"/>
      <c r="T689" s="6"/>
      <c r="U689" s="24" t="str">
        <f>HYPERLINK("https://media.infra-m.ru/2142/2142446/cover/2142446.jpg", "Обложка")</f>
        <v>Обложка</v>
      </c>
      <c r="V689" s="24" t="str">
        <f>HYPERLINK("https://znanium.ru/catalog/product/2142446", "Ознакомиться")</f>
        <v>Ознакомиться</v>
      </c>
      <c r="W689" s="8" t="s">
        <v>309</v>
      </c>
      <c r="X689" s="6"/>
      <c r="Y689" s="6"/>
      <c r="Z689" s="6"/>
      <c r="AA689" s="6" t="s">
        <v>57</v>
      </c>
      <c r="AB689" s="8"/>
    </row>
    <row r="690" spans="1:28" s="4" customFormat="1" ht="51.95" customHeight="1">
      <c r="A690" s="5">
        <v>0</v>
      </c>
      <c r="B690" s="6" t="s">
        <v>4108</v>
      </c>
      <c r="C690" s="13">
        <v>516</v>
      </c>
      <c r="D690" s="8" t="s">
        <v>4109</v>
      </c>
      <c r="E690" s="8" t="s">
        <v>4110</v>
      </c>
      <c r="F690" s="8" t="s">
        <v>4111</v>
      </c>
      <c r="G690" s="6" t="s">
        <v>38</v>
      </c>
      <c r="H690" s="6" t="s">
        <v>39</v>
      </c>
      <c r="I690" s="8" t="s">
        <v>40</v>
      </c>
      <c r="J690" s="9">
        <v>1</v>
      </c>
      <c r="K690" s="9">
        <v>72</v>
      </c>
      <c r="L690" s="9">
        <v>2025</v>
      </c>
      <c r="M690" s="8" t="s">
        <v>4112</v>
      </c>
      <c r="N690" s="8" t="s">
        <v>144</v>
      </c>
      <c r="O690" s="8" t="s">
        <v>145</v>
      </c>
      <c r="P690" s="6" t="s">
        <v>44</v>
      </c>
      <c r="Q690" s="8" t="s">
        <v>45</v>
      </c>
      <c r="R690" s="10" t="s">
        <v>4113</v>
      </c>
      <c r="S690" s="11"/>
      <c r="T690" s="6"/>
      <c r="U690" s="24" t="str">
        <f>HYPERLINK("https://media.infra-m.ru/2191/2191611/cover/2191611.jpg", "Обложка")</f>
        <v>Обложка</v>
      </c>
      <c r="V690" s="24" t="str">
        <f>HYPERLINK("https://znanium.ru/catalog/product/2191611", "Ознакомиться")</f>
        <v>Ознакомиться</v>
      </c>
      <c r="W690" s="8" t="s">
        <v>220</v>
      </c>
      <c r="X690" s="6"/>
      <c r="Y690" s="6"/>
      <c r="Z690" s="6"/>
      <c r="AA690" s="6" t="s">
        <v>242</v>
      </c>
      <c r="AB690" s="8"/>
    </row>
    <row r="691" spans="1:28" s="4" customFormat="1" ht="51.95" customHeight="1">
      <c r="A691" s="5">
        <v>0</v>
      </c>
      <c r="B691" s="6" t="s">
        <v>4114</v>
      </c>
      <c r="C691" s="7">
        <v>1320</v>
      </c>
      <c r="D691" s="8" t="s">
        <v>4115</v>
      </c>
      <c r="E691" s="8" t="s">
        <v>4116</v>
      </c>
      <c r="F691" s="8" t="s">
        <v>4117</v>
      </c>
      <c r="G691" s="6" t="s">
        <v>96</v>
      </c>
      <c r="H691" s="6" t="s">
        <v>39</v>
      </c>
      <c r="I691" s="8" t="s">
        <v>340</v>
      </c>
      <c r="J691" s="9">
        <v>1</v>
      </c>
      <c r="K691" s="9">
        <v>217</v>
      </c>
      <c r="L691" s="9">
        <v>2024</v>
      </c>
      <c r="M691" s="8" t="s">
        <v>4118</v>
      </c>
      <c r="N691" s="8" t="s">
        <v>119</v>
      </c>
      <c r="O691" s="8" t="s">
        <v>120</v>
      </c>
      <c r="P691" s="6" t="s">
        <v>271</v>
      </c>
      <c r="Q691" s="8" t="s">
        <v>45</v>
      </c>
      <c r="R691" s="10" t="s">
        <v>4119</v>
      </c>
      <c r="S691" s="11"/>
      <c r="T691" s="6"/>
      <c r="U691" s="24" t="str">
        <f>HYPERLINK("https://media.infra-m.ru/1946/1946243/cover/1946243.jpg", "Обложка")</f>
        <v>Обложка</v>
      </c>
      <c r="V691" s="24" t="str">
        <f>HYPERLINK("https://znanium.ru/catalog/product/1946243", "Ознакомиться")</f>
        <v>Ознакомиться</v>
      </c>
      <c r="W691" s="8" t="s">
        <v>4120</v>
      </c>
      <c r="X691" s="6"/>
      <c r="Y691" s="6"/>
      <c r="Z691" s="6"/>
      <c r="AA691" s="6" t="s">
        <v>48</v>
      </c>
      <c r="AB691" s="8"/>
    </row>
    <row r="692" spans="1:28" s="4" customFormat="1" ht="51.95" customHeight="1">
      <c r="A692" s="5">
        <v>0</v>
      </c>
      <c r="B692" s="6" t="s">
        <v>4121</v>
      </c>
      <c r="C692" s="7">
        <v>1560</v>
      </c>
      <c r="D692" s="8" t="s">
        <v>4122</v>
      </c>
      <c r="E692" s="8" t="s">
        <v>4123</v>
      </c>
      <c r="F692" s="8"/>
      <c r="G692" s="6" t="s">
        <v>96</v>
      </c>
      <c r="H692" s="6" t="s">
        <v>39</v>
      </c>
      <c r="I692" s="8"/>
      <c r="J692" s="9">
        <v>1</v>
      </c>
      <c r="K692" s="9">
        <v>396</v>
      </c>
      <c r="L692" s="9">
        <v>2025</v>
      </c>
      <c r="M692" s="8" t="s">
        <v>4124</v>
      </c>
      <c r="N692" s="8" t="s">
        <v>119</v>
      </c>
      <c r="O692" s="8" t="s">
        <v>120</v>
      </c>
      <c r="P692" s="6" t="s">
        <v>1371</v>
      </c>
      <c r="Q692" s="8" t="s">
        <v>45</v>
      </c>
      <c r="R692" s="10" t="s">
        <v>4125</v>
      </c>
      <c r="S692" s="11"/>
      <c r="T692" s="6"/>
      <c r="U692" s="24" t="str">
        <f>HYPERLINK("https://media.infra-m.ru/2065/2065353/cover/2065353.jpg", "Обложка")</f>
        <v>Обложка</v>
      </c>
      <c r="V692" s="12"/>
      <c r="W692" s="8"/>
      <c r="X692" s="6" t="s">
        <v>436</v>
      </c>
      <c r="Y692" s="6"/>
      <c r="Z692" s="6"/>
      <c r="AA692" s="6" t="s">
        <v>360</v>
      </c>
      <c r="AB692" s="8"/>
    </row>
    <row r="693" spans="1:28" s="4" customFormat="1" ht="42" customHeight="1">
      <c r="A693" s="5">
        <v>0</v>
      </c>
      <c r="B693" s="6" t="s">
        <v>4126</v>
      </c>
      <c r="C693" s="7">
        <v>1056</v>
      </c>
      <c r="D693" s="8" t="s">
        <v>4127</v>
      </c>
      <c r="E693" s="8" t="s">
        <v>4128</v>
      </c>
      <c r="F693" s="8" t="s">
        <v>291</v>
      </c>
      <c r="G693" s="6" t="s">
        <v>38</v>
      </c>
      <c r="H693" s="6" t="s">
        <v>39</v>
      </c>
      <c r="I693" s="8" t="s">
        <v>40</v>
      </c>
      <c r="J693" s="9">
        <v>1</v>
      </c>
      <c r="K693" s="9">
        <v>224</v>
      </c>
      <c r="L693" s="9">
        <v>2022</v>
      </c>
      <c r="M693" s="8" t="s">
        <v>4129</v>
      </c>
      <c r="N693" s="8" t="s">
        <v>42</v>
      </c>
      <c r="O693" s="8" t="s">
        <v>72</v>
      </c>
      <c r="P693" s="6" t="s">
        <v>44</v>
      </c>
      <c r="Q693" s="8" t="s">
        <v>45</v>
      </c>
      <c r="R693" s="10" t="s">
        <v>1027</v>
      </c>
      <c r="S693" s="11"/>
      <c r="T693" s="6"/>
      <c r="U693" s="24" t="str">
        <f>HYPERLINK("https://media.infra-m.ru/1840/1840173/cover/1840173.jpg", "Обложка")</f>
        <v>Обложка</v>
      </c>
      <c r="V693" s="24" t="str">
        <f>HYPERLINK("https://znanium.ru/catalog/product/1840173", "Ознакомиться")</f>
        <v>Ознакомиться</v>
      </c>
      <c r="W693" s="8" t="s">
        <v>293</v>
      </c>
      <c r="X693" s="6"/>
      <c r="Y693" s="6"/>
      <c r="Z693" s="6"/>
      <c r="AA693" s="6" t="s">
        <v>83</v>
      </c>
      <c r="AB693" s="8"/>
    </row>
    <row r="694" spans="1:28" s="4" customFormat="1" ht="42" customHeight="1">
      <c r="A694" s="5">
        <v>0</v>
      </c>
      <c r="B694" s="6" t="s">
        <v>4130</v>
      </c>
      <c r="C694" s="7">
        <v>1392</v>
      </c>
      <c r="D694" s="8" t="s">
        <v>4131</v>
      </c>
      <c r="E694" s="8" t="s">
        <v>4132</v>
      </c>
      <c r="F694" s="8" t="s">
        <v>1323</v>
      </c>
      <c r="G694" s="6" t="s">
        <v>96</v>
      </c>
      <c r="H694" s="6" t="s">
        <v>39</v>
      </c>
      <c r="I694" s="8" t="s">
        <v>40</v>
      </c>
      <c r="J694" s="9">
        <v>1</v>
      </c>
      <c r="K694" s="9">
        <v>218</v>
      </c>
      <c r="L694" s="9">
        <v>2025</v>
      </c>
      <c r="M694" s="8" t="s">
        <v>4133</v>
      </c>
      <c r="N694" s="8" t="s">
        <v>144</v>
      </c>
      <c r="O694" s="8" t="s">
        <v>145</v>
      </c>
      <c r="P694" s="6" t="s">
        <v>44</v>
      </c>
      <c r="Q694" s="8" t="s">
        <v>45</v>
      </c>
      <c r="R694" s="10" t="s">
        <v>4134</v>
      </c>
      <c r="S694" s="11"/>
      <c r="T694" s="6"/>
      <c r="U694" s="24" t="str">
        <f>HYPERLINK("https://media.infra-m.ru/2167/2167515/cover/2167515.jpg", "Обложка")</f>
        <v>Обложка</v>
      </c>
      <c r="V694" s="24" t="str">
        <f>HYPERLINK("https://znanium.ru/catalog/product/2167515", "Ознакомиться")</f>
        <v>Ознакомиться</v>
      </c>
      <c r="W694" s="8" t="s">
        <v>1326</v>
      </c>
      <c r="X694" s="6" t="s">
        <v>1077</v>
      </c>
      <c r="Y694" s="6"/>
      <c r="Z694" s="6"/>
      <c r="AA694" s="6" t="s">
        <v>360</v>
      </c>
      <c r="AB694" s="8"/>
    </row>
    <row r="695" spans="1:28" s="4" customFormat="1" ht="42" customHeight="1">
      <c r="A695" s="5">
        <v>0</v>
      </c>
      <c r="B695" s="6" t="s">
        <v>4135</v>
      </c>
      <c r="C695" s="7">
        <v>1680</v>
      </c>
      <c r="D695" s="8" t="s">
        <v>4136</v>
      </c>
      <c r="E695" s="8" t="s">
        <v>4137</v>
      </c>
      <c r="F695" s="8"/>
      <c r="G695" s="6" t="s">
        <v>96</v>
      </c>
      <c r="H695" s="6" t="s">
        <v>39</v>
      </c>
      <c r="I695" s="8"/>
      <c r="J695" s="9">
        <v>1</v>
      </c>
      <c r="K695" s="9">
        <v>415</v>
      </c>
      <c r="L695" s="9">
        <v>2025</v>
      </c>
      <c r="M695" s="8" t="s">
        <v>4138</v>
      </c>
      <c r="N695" s="8" t="s">
        <v>119</v>
      </c>
      <c r="O695" s="8" t="s">
        <v>120</v>
      </c>
      <c r="P695" s="6" t="s">
        <v>1371</v>
      </c>
      <c r="Q695" s="8" t="s">
        <v>45</v>
      </c>
      <c r="R695" s="10" t="s">
        <v>4139</v>
      </c>
      <c r="S695" s="11"/>
      <c r="T695" s="6"/>
      <c r="U695" s="24" t="str">
        <f>HYPERLINK("https://media.infra-m.ru/2220/2220458/cover/2220458.jpg", "Обложка")</f>
        <v>Обложка</v>
      </c>
      <c r="V695" s="12"/>
      <c r="W695" s="8"/>
      <c r="X695" s="6" t="s">
        <v>436</v>
      </c>
      <c r="Y695" s="6"/>
      <c r="Z695" s="6"/>
      <c r="AA695" s="6" t="s">
        <v>360</v>
      </c>
      <c r="AB695" s="8"/>
    </row>
    <row r="696" spans="1:28" s="4" customFormat="1" ht="42" customHeight="1">
      <c r="A696" s="5">
        <v>0</v>
      </c>
      <c r="B696" s="6" t="s">
        <v>4140</v>
      </c>
      <c r="C696" s="7">
        <v>2140.8000000000002</v>
      </c>
      <c r="D696" s="8" t="s">
        <v>4141</v>
      </c>
      <c r="E696" s="8" t="s">
        <v>4142</v>
      </c>
      <c r="F696" s="8" t="s">
        <v>4143</v>
      </c>
      <c r="G696" s="6" t="s">
        <v>96</v>
      </c>
      <c r="H696" s="6" t="s">
        <v>39</v>
      </c>
      <c r="I696" s="8" t="s">
        <v>40</v>
      </c>
      <c r="J696" s="9">
        <v>1</v>
      </c>
      <c r="K696" s="9">
        <v>388</v>
      </c>
      <c r="L696" s="9">
        <v>2024</v>
      </c>
      <c r="M696" s="8" t="s">
        <v>4144</v>
      </c>
      <c r="N696" s="8" t="s">
        <v>144</v>
      </c>
      <c r="O696" s="8" t="s">
        <v>145</v>
      </c>
      <c r="P696" s="6" t="s">
        <v>44</v>
      </c>
      <c r="Q696" s="8" t="s">
        <v>45</v>
      </c>
      <c r="R696" s="10" t="s">
        <v>4145</v>
      </c>
      <c r="S696" s="11"/>
      <c r="T696" s="6"/>
      <c r="U696" s="24" t="str">
        <f>HYPERLINK("https://media.infra-m.ru/2110/2110933/cover/2110933.jpg", "Обложка")</f>
        <v>Обложка</v>
      </c>
      <c r="V696" s="24" t="str">
        <f>HYPERLINK("https://znanium.ru/catalog/product/1816434", "Ознакомиться")</f>
        <v>Ознакомиться</v>
      </c>
      <c r="W696" s="8" t="s">
        <v>1022</v>
      </c>
      <c r="X696" s="6"/>
      <c r="Y696" s="6"/>
      <c r="Z696" s="6"/>
      <c r="AA696" s="6" t="s">
        <v>138</v>
      </c>
      <c r="AB696" s="8" t="s">
        <v>2670</v>
      </c>
    </row>
    <row r="697" spans="1:28" s="4" customFormat="1" ht="42" customHeight="1">
      <c r="A697" s="5">
        <v>0</v>
      </c>
      <c r="B697" s="6" t="s">
        <v>4146</v>
      </c>
      <c r="C697" s="13">
        <v>600</v>
      </c>
      <c r="D697" s="8" t="s">
        <v>4147</v>
      </c>
      <c r="E697" s="8" t="s">
        <v>4148</v>
      </c>
      <c r="F697" s="8" t="s">
        <v>4149</v>
      </c>
      <c r="G697" s="6" t="s">
        <v>38</v>
      </c>
      <c r="H697" s="6" t="s">
        <v>39</v>
      </c>
      <c r="I697" s="8"/>
      <c r="J697" s="9">
        <v>1</v>
      </c>
      <c r="K697" s="9">
        <v>134</v>
      </c>
      <c r="L697" s="9">
        <v>2024</v>
      </c>
      <c r="M697" s="8" t="s">
        <v>4150</v>
      </c>
      <c r="N697" s="8" t="s">
        <v>177</v>
      </c>
      <c r="O697" s="8" t="s">
        <v>541</v>
      </c>
      <c r="P697" s="6" t="s">
        <v>714</v>
      </c>
      <c r="Q697" s="8" t="s">
        <v>45</v>
      </c>
      <c r="R697" s="10" t="s">
        <v>4151</v>
      </c>
      <c r="S697" s="11"/>
      <c r="T697" s="6"/>
      <c r="U697" s="24" t="str">
        <f>HYPERLINK("https://media.infra-m.ru/2146/2146296/cover/2146296.jpg", "Обложка")</f>
        <v>Обложка</v>
      </c>
      <c r="V697" s="12"/>
      <c r="W697" s="8" t="s">
        <v>4152</v>
      </c>
      <c r="X697" s="6"/>
      <c r="Y697" s="6"/>
      <c r="Z697" s="6"/>
      <c r="AA697" s="6" t="s">
        <v>91</v>
      </c>
      <c r="AB697" s="8"/>
    </row>
    <row r="698" spans="1:28" s="4" customFormat="1" ht="42" customHeight="1">
      <c r="A698" s="5">
        <v>0</v>
      </c>
      <c r="B698" s="6" t="s">
        <v>4153</v>
      </c>
      <c r="C698" s="7">
        <v>1188</v>
      </c>
      <c r="D698" s="8" t="s">
        <v>4154</v>
      </c>
      <c r="E698" s="8" t="s">
        <v>4155</v>
      </c>
      <c r="F698" s="8" t="s">
        <v>4156</v>
      </c>
      <c r="G698" s="6" t="s">
        <v>38</v>
      </c>
      <c r="H698" s="6" t="s">
        <v>39</v>
      </c>
      <c r="I698" s="8" t="s">
        <v>1126</v>
      </c>
      <c r="J698" s="9">
        <v>1</v>
      </c>
      <c r="K698" s="9">
        <v>186</v>
      </c>
      <c r="L698" s="9">
        <v>2025</v>
      </c>
      <c r="M698" s="8" t="s">
        <v>4157</v>
      </c>
      <c r="N698" s="8" t="s">
        <v>144</v>
      </c>
      <c r="O698" s="8" t="s">
        <v>145</v>
      </c>
      <c r="P698" s="6" t="s">
        <v>44</v>
      </c>
      <c r="Q698" s="8" t="s">
        <v>45</v>
      </c>
      <c r="R698" s="10" t="s">
        <v>2619</v>
      </c>
      <c r="S698" s="11"/>
      <c r="T698" s="6"/>
      <c r="U698" s="24" t="str">
        <f>HYPERLINK("https://media.infra-m.ru/2155/2155925/cover/2155925.jpg", "Обложка")</f>
        <v>Обложка</v>
      </c>
      <c r="V698" s="24" t="str">
        <f>HYPERLINK("https://znanium.ru/catalog/product/2155925", "Ознакомиться")</f>
        <v>Ознакомиться</v>
      </c>
      <c r="W698" s="8" t="s">
        <v>4158</v>
      </c>
      <c r="X698" s="6"/>
      <c r="Y698" s="6"/>
      <c r="Z698" s="6"/>
      <c r="AA698" s="6" t="s">
        <v>360</v>
      </c>
      <c r="AB698" s="8"/>
    </row>
    <row r="699" spans="1:28" s="4" customFormat="1" ht="51.95" customHeight="1">
      <c r="A699" s="5">
        <v>0</v>
      </c>
      <c r="B699" s="6" t="s">
        <v>4159</v>
      </c>
      <c r="C699" s="7">
        <v>2856</v>
      </c>
      <c r="D699" s="8" t="s">
        <v>4160</v>
      </c>
      <c r="E699" s="8" t="s">
        <v>4161</v>
      </c>
      <c r="F699" s="8" t="s">
        <v>4162</v>
      </c>
      <c r="G699" s="6" t="s">
        <v>96</v>
      </c>
      <c r="H699" s="6" t="s">
        <v>531</v>
      </c>
      <c r="I699" s="8"/>
      <c r="J699" s="9">
        <v>1</v>
      </c>
      <c r="K699" s="9">
        <v>476</v>
      </c>
      <c r="L699" s="9">
        <v>2025</v>
      </c>
      <c r="M699" s="8" t="s">
        <v>4163</v>
      </c>
      <c r="N699" s="8" t="s">
        <v>144</v>
      </c>
      <c r="O699" s="8" t="s">
        <v>145</v>
      </c>
      <c r="P699" s="6" t="s">
        <v>459</v>
      </c>
      <c r="Q699" s="8" t="s">
        <v>200</v>
      </c>
      <c r="R699" s="10" t="s">
        <v>4164</v>
      </c>
      <c r="S699" s="11" t="s">
        <v>4165</v>
      </c>
      <c r="T699" s="6"/>
      <c r="U699" s="24" t="str">
        <f>HYPERLINK("https://media.infra-m.ru/2143/2143250/cover/2143250.jpg", "Обложка")</f>
        <v>Обложка</v>
      </c>
      <c r="V699" s="24" t="str">
        <f>HYPERLINK("https://znanium.ru/catalog/product/2143250", "Ознакомиться")</f>
        <v>Ознакомиться</v>
      </c>
      <c r="W699" s="8" t="s">
        <v>241</v>
      </c>
      <c r="X699" s="6"/>
      <c r="Y699" s="6"/>
      <c r="Z699" s="6"/>
      <c r="AA699" s="6" t="s">
        <v>183</v>
      </c>
      <c r="AB699" s="8"/>
    </row>
    <row r="700" spans="1:28" s="4" customFormat="1" ht="42" customHeight="1">
      <c r="A700" s="5">
        <v>0</v>
      </c>
      <c r="B700" s="6" t="s">
        <v>4166</v>
      </c>
      <c r="C700" s="7">
        <v>1812</v>
      </c>
      <c r="D700" s="8" t="s">
        <v>4167</v>
      </c>
      <c r="E700" s="8" t="s">
        <v>4168</v>
      </c>
      <c r="F700" s="8" t="s">
        <v>4169</v>
      </c>
      <c r="G700" s="6" t="s">
        <v>62</v>
      </c>
      <c r="H700" s="6" t="s">
        <v>39</v>
      </c>
      <c r="I700" s="8" t="s">
        <v>40</v>
      </c>
      <c r="J700" s="9">
        <v>1</v>
      </c>
      <c r="K700" s="9">
        <v>335</v>
      </c>
      <c r="L700" s="9">
        <v>2023</v>
      </c>
      <c r="M700" s="8" t="s">
        <v>4170</v>
      </c>
      <c r="N700" s="8" t="s">
        <v>42</v>
      </c>
      <c r="O700" s="8" t="s">
        <v>104</v>
      </c>
      <c r="P700" s="6" t="s">
        <v>44</v>
      </c>
      <c r="Q700" s="8" t="s">
        <v>45</v>
      </c>
      <c r="R700" s="10" t="s">
        <v>4171</v>
      </c>
      <c r="S700" s="11"/>
      <c r="T700" s="6"/>
      <c r="U700" s="24" t="str">
        <f>HYPERLINK("https://media.infra-m.ru/1898/1898363/cover/1898363.jpg", "Обложка")</f>
        <v>Обложка</v>
      </c>
      <c r="V700" s="24" t="str">
        <f>HYPERLINK("https://znanium.ru/catalog/product/1898363", "Ознакомиться")</f>
        <v>Ознакомиться</v>
      </c>
      <c r="W700" s="8" t="s">
        <v>1149</v>
      </c>
      <c r="X700" s="6"/>
      <c r="Y700" s="6"/>
      <c r="Z700" s="6"/>
      <c r="AA700" s="6" t="s">
        <v>57</v>
      </c>
      <c r="AB700" s="8"/>
    </row>
    <row r="701" spans="1:28" s="4" customFormat="1" ht="42" customHeight="1">
      <c r="A701" s="5">
        <v>0</v>
      </c>
      <c r="B701" s="6" t="s">
        <v>4172</v>
      </c>
      <c r="C701" s="13">
        <v>936</v>
      </c>
      <c r="D701" s="8" t="s">
        <v>4173</v>
      </c>
      <c r="E701" s="8" t="s">
        <v>4174</v>
      </c>
      <c r="F701" s="8" t="s">
        <v>291</v>
      </c>
      <c r="G701" s="6" t="s">
        <v>38</v>
      </c>
      <c r="H701" s="6" t="s">
        <v>39</v>
      </c>
      <c r="I701" s="8" t="s">
        <v>40</v>
      </c>
      <c r="J701" s="9">
        <v>1</v>
      </c>
      <c r="K701" s="9">
        <v>183</v>
      </c>
      <c r="L701" s="9">
        <v>2022</v>
      </c>
      <c r="M701" s="8" t="s">
        <v>4175</v>
      </c>
      <c r="N701" s="8" t="s">
        <v>42</v>
      </c>
      <c r="O701" s="8" t="s">
        <v>72</v>
      </c>
      <c r="P701" s="6" t="s">
        <v>44</v>
      </c>
      <c r="Q701" s="8" t="s">
        <v>45</v>
      </c>
      <c r="R701" s="10" t="s">
        <v>1027</v>
      </c>
      <c r="S701" s="11"/>
      <c r="T701" s="6"/>
      <c r="U701" s="24" t="str">
        <f>HYPERLINK("https://media.infra-m.ru/1841/1841828/cover/1841828.jpg", "Обложка")</f>
        <v>Обложка</v>
      </c>
      <c r="V701" s="24" t="str">
        <f>HYPERLINK("https://znanium.ru/catalog/product/1841828", "Ознакомиться")</f>
        <v>Ознакомиться</v>
      </c>
      <c r="W701" s="8" t="s">
        <v>293</v>
      </c>
      <c r="X701" s="6"/>
      <c r="Y701" s="6"/>
      <c r="Z701" s="6"/>
      <c r="AA701" s="6" t="s">
        <v>83</v>
      </c>
      <c r="AB701" s="8" t="s">
        <v>4176</v>
      </c>
    </row>
    <row r="702" spans="1:28" s="4" customFormat="1" ht="44.1" customHeight="1">
      <c r="A702" s="5">
        <v>0</v>
      </c>
      <c r="B702" s="6" t="s">
        <v>4177</v>
      </c>
      <c r="C702" s="7">
        <v>1212</v>
      </c>
      <c r="D702" s="8" t="s">
        <v>4178</v>
      </c>
      <c r="E702" s="8" t="s">
        <v>4179</v>
      </c>
      <c r="F702" s="8" t="s">
        <v>4180</v>
      </c>
      <c r="G702" s="6" t="s">
        <v>62</v>
      </c>
      <c r="H702" s="6" t="s">
        <v>39</v>
      </c>
      <c r="I702" s="8" t="s">
        <v>40</v>
      </c>
      <c r="J702" s="9">
        <v>1</v>
      </c>
      <c r="K702" s="9">
        <v>202</v>
      </c>
      <c r="L702" s="9">
        <v>2025</v>
      </c>
      <c r="M702" s="8" t="s">
        <v>4181</v>
      </c>
      <c r="N702" s="8" t="s">
        <v>42</v>
      </c>
      <c r="O702" s="8" t="s">
        <v>104</v>
      </c>
      <c r="P702" s="6" t="s">
        <v>44</v>
      </c>
      <c r="Q702" s="8" t="s">
        <v>45</v>
      </c>
      <c r="R702" s="10" t="s">
        <v>4182</v>
      </c>
      <c r="S702" s="11"/>
      <c r="T702" s="6" t="s">
        <v>633</v>
      </c>
      <c r="U702" s="24" t="str">
        <f>HYPERLINK("https://media.infra-m.ru/2160/2160652/cover/2160652.jpg", "Обложка")</f>
        <v>Обложка</v>
      </c>
      <c r="V702" s="24" t="str">
        <f>HYPERLINK("https://znanium.ru/catalog/product/2160652", "Ознакомиться")</f>
        <v>Ознакомиться</v>
      </c>
      <c r="W702" s="8" t="s">
        <v>4183</v>
      </c>
      <c r="X702" s="6"/>
      <c r="Y702" s="6"/>
      <c r="Z702" s="6"/>
      <c r="AA702" s="6" t="s">
        <v>138</v>
      </c>
      <c r="AB702" s="8"/>
    </row>
    <row r="703" spans="1:28" s="4" customFormat="1" ht="44.1" customHeight="1">
      <c r="A703" s="5">
        <v>0</v>
      </c>
      <c r="B703" s="6" t="s">
        <v>4184</v>
      </c>
      <c r="C703" s="13">
        <v>432</v>
      </c>
      <c r="D703" s="8" t="s">
        <v>4185</v>
      </c>
      <c r="E703" s="8" t="s">
        <v>4186</v>
      </c>
      <c r="F703" s="8" t="s">
        <v>4187</v>
      </c>
      <c r="G703" s="6" t="s">
        <v>38</v>
      </c>
      <c r="H703" s="6" t="s">
        <v>39</v>
      </c>
      <c r="I703" s="8" t="s">
        <v>40</v>
      </c>
      <c r="J703" s="9">
        <v>1</v>
      </c>
      <c r="K703" s="9">
        <v>80</v>
      </c>
      <c r="L703" s="9">
        <v>2023</v>
      </c>
      <c r="M703" s="8" t="s">
        <v>4188</v>
      </c>
      <c r="N703" s="8" t="s">
        <v>144</v>
      </c>
      <c r="O703" s="8" t="s">
        <v>145</v>
      </c>
      <c r="P703" s="6" t="s">
        <v>44</v>
      </c>
      <c r="Q703" s="8" t="s">
        <v>45</v>
      </c>
      <c r="R703" s="10" t="s">
        <v>4189</v>
      </c>
      <c r="S703" s="11"/>
      <c r="T703" s="6"/>
      <c r="U703" s="24" t="str">
        <f>HYPERLINK("https://media.infra-m.ru/1896/1896424/cover/1896424.jpg", "Обложка")</f>
        <v>Обложка</v>
      </c>
      <c r="V703" s="24" t="str">
        <f>HYPERLINK("https://znanium.ru/catalog/product/1896424", "Ознакомиться")</f>
        <v>Ознакомиться</v>
      </c>
      <c r="W703" s="8" t="s">
        <v>74</v>
      </c>
      <c r="X703" s="6"/>
      <c r="Y703" s="6"/>
      <c r="Z703" s="6"/>
      <c r="AA703" s="6" t="s">
        <v>264</v>
      </c>
      <c r="AB703" s="8"/>
    </row>
    <row r="704" spans="1:28" s="4" customFormat="1" ht="42" customHeight="1">
      <c r="A704" s="5">
        <v>0</v>
      </c>
      <c r="B704" s="6" t="s">
        <v>4190</v>
      </c>
      <c r="C704" s="13">
        <v>768</v>
      </c>
      <c r="D704" s="8" t="s">
        <v>4191</v>
      </c>
      <c r="E704" s="8" t="s">
        <v>4192</v>
      </c>
      <c r="F704" s="8" t="s">
        <v>627</v>
      </c>
      <c r="G704" s="6" t="s">
        <v>62</v>
      </c>
      <c r="H704" s="6" t="s">
        <v>39</v>
      </c>
      <c r="I704" s="8" t="s">
        <v>629</v>
      </c>
      <c r="J704" s="9">
        <v>1</v>
      </c>
      <c r="K704" s="9">
        <v>246</v>
      </c>
      <c r="L704" s="9">
        <v>2026</v>
      </c>
      <c r="M704" s="8" t="s">
        <v>4193</v>
      </c>
      <c r="N704" s="8" t="s">
        <v>119</v>
      </c>
      <c r="O704" s="8" t="s">
        <v>915</v>
      </c>
      <c r="P704" s="6" t="s">
        <v>916</v>
      </c>
      <c r="Q704" s="8" t="s">
        <v>180</v>
      </c>
      <c r="R704" s="10" t="s">
        <v>917</v>
      </c>
      <c r="S704" s="11"/>
      <c r="T704" s="6"/>
      <c r="U704" s="24" t="str">
        <f>HYPERLINK("https://media.infra-m.ru/2226/2226223/cover/2226223.jpg", "Обложка")</f>
        <v>Обложка</v>
      </c>
      <c r="V704" s="24" t="str">
        <f>HYPERLINK("https://znanium.ru/catalog/product/2226223", "Ознакомиться")</f>
        <v>Ознакомиться</v>
      </c>
      <c r="W704" s="8"/>
      <c r="X704" s="6"/>
      <c r="Y704" s="6"/>
      <c r="Z704" s="6"/>
      <c r="AA704" s="6" t="s">
        <v>918</v>
      </c>
      <c r="AB704" s="8"/>
    </row>
    <row r="705" spans="1:28" s="4" customFormat="1" ht="42" customHeight="1">
      <c r="A705" s="5">
        <v>0</v>
      </c>
      <c r="B705" s="6" t="s">
        <v>4194</v>
      </c>
      <c r="C705" s="13">
        <v>492</v>
      </c>
      <c r="D705" s="8" t="s">
        <v>4195</v>
      </c>
      <c r="E705" s="8" t="s">
        <v>4196</v>
      </c>
      <c r="F705" s="8" t="s">
        <v>627</v>
      </c>
      <c r="G705" s="6" t="s">
        <v>62</v>
      </c>
      <c r="H705" s="6" t="s">
        <v>39</v>
      </c>
      <c r="I705" s="8" t="s">
        <v>629</v>
      </c>
      <c r="J705" s="9">
        <v>1</v>
      </c>
      <c r="K705" s="9">
        <v>246</v>
      </c>
      <c r="L705" s="9">
        <v>2024</v>
      </c>
      <c r="M705" s="8" t="s">
        <v>4197</v>
      </c>
      <c r="N705" s="8" t="s">
        <v>119</v>
      </c>
      <c r="O705" s="8" t="s">
        <v>915</v>
      </c>
      <c r="P705" s="6" t="s">
        <v>916</v>
      </c>
      <c r="Q705" s="8" t="s">
        <v>180</v>
      </c>
      <c r="R705" s="10" t="s">
        <v>917</v>
      </c>
      <c r="S705" s="11"/>
      <c r="T705" s="6"/>
      <c r="U705" s="24" t="str">
        <f>HYPERLINK("https://media.infra-m.ru/2130/2130735/cover/2130735.jpg", "Обложка")</f>
        <v>Обложка</v>
      </c>
      <c r="V705" s="24" t="str">
        <f>HYPERLINK("https://znanium.ru/catalog/product/2226223", "Ознакомиться")</f>
        <v>Ознакомиться</v>
      </c>
      <c r="W705" s="8"/>
      <c r="X705" s="6"/>
      <c r="Y705" s="6"/>
      <c r="Z705" s="6"/>
      <c r="AA705" s="6" t="s">
        <v>91</v>
      </c>
      <c r="AB705" s="8"/>
    </row>
    <row r="706" spans="1:28" s="4" customFormat="1" ht="42" customHeight="1">
      <c r="A706" s="5">
        <v>0</v>
      </c>
      <c r="B706" s="6" t="s">
        <v>4198</v>
      </c>
      <c r="C706" s="13">
        <v>672</v>
      </c>
      <c r="D706" s="8" t="s">
        <v>4199</v>
      </c>
      <c r="E706" s="8" t="s">
        <v>4200</v>
      </c>
      <c r="F706" s="8" t="s">
        <v>627</v>
      </c>
      <c r="G706" s="6" t="s">
        <v>62</v>
      </c>
      <c r="H706" s="6" t="s">
        <v>39</v>
      </c>
      <c r="I706" s="8" t="s">
        <v>629</v>
      </c>
      <c r="J706" s="9">
        <v>1</v>
      </c>
      <c r="K706" s="9">
        <v>183</v>
      </c>
      <c r="L706" s="9">
        <v>2025</v>
      </c>
      <c r="M706" s="8" t="s">
        <v>4201</v>
      </c>
      <c r="N706" s="8" t="s">
        <v>119</v>
      </c>
      <c r="O706" s="8" t="s">
        <v>915</v>
      </c>
      <c r="P706" s="6" t="s">
        <v>916</v>
      </c>
      <c r="Q706" s="8" t="s">
        <v>180</v>
      </c>
      <c r="R706" s="10" t="s">
        <v>917</v>
      </c>
      <c r="S706" s="11"/>
      <c r="T706" s="6"/>
      <c r="U706" s="24" t="str">
        <f>HYPERLINK("https://media.infra-m.ru/2213/2213440/cover/2213440.jpg", "Обложка")</f>
        <v>Обложка</v>
      </c>
      <c r="V706" s="24" t="str">
        <f>HYPERLINK("https://znanium.ru/catalog/product/2160669", "Ознакомиться")</f>
        <v>Ознакомиться</v>
      </c>
      <c r="W706" s="8"/>
      <c r="X706" s="6"/>
      <c r="Y706" s="6"/>
      <c r="Z706" s="6"/>
      <c r="AA706" s="6" t="s">
        <v>222</v>
      </c>
      <c r="AB706" s="8"/>
    </row>
    <row r="707" spans="1:28" s="4" customFormat="1" ht="42" customHeight="1">
      <c r="A707" s="5">
        <v>0</v>
      </c>
      <c r="B707" s="6" t="s">
        <v>4202</v>
      </c>
      <c r="C707" s="13">
        <v>424.8</v>
      </c>
      <c r="D707" s="8" t="s">
        <v>4203</v>
      </c>
      <c r="E707" s="8" t="s">
        <v>4204</v>
      </c>
      <c r="F707" s="8" t="s">
        <v>627</v>
      </c>
      <c r="G707" s="6" t="s">
        <v>62</v>
      </c>
      <c r="H707" s="6" t="s">
        <v>39</v>
      </c>
      <c r="I707" s="8" t="s">
        <v>629</v>
      </c>
      <c r="J707" s="9">
        <v>1</v>
      </c>
      <c r="K707" s="9">
        <v>182</v>
      </c>
      <c r="L707" s="9">
        <v>2023</v>
      </c>
      <c r="M707" s="8" t="s">
        <v>4205</v>
      </c>
      <c r="N707" s="8" t="s">
        <v>119</v>
      </c>
      <c r="O707" s="8" t="s">
        <v>915</v>
      </c>
      <c r="P707" s="6" t="s">
        <v>916</v>
      </c>
      <c r="Q707" s="8" t="s">
        <v>180</v>
      </c>
      <c r="R707" s="10" t="s">
        <v>917</v>
      </c>
      <c r="S707" s="11"/>
      <c r="T707" s="6"/>
      <c r="U707" s="24" t="str">
        <f>HYPERLINK("https://media.infra-m.ru/2139/2139433/cover/2139433.jpg", "Обложка")</f>
        <v>Обложка</v>
      </c>
      <c r="V707" s="24" t="str">
        <f>HYPERLINK("https://znanium.ru/catalog/product/2160669", "Ознакомиться")</f>
        <v>Ознакомиться</v>
      </c>
      <c r="W707" s="8"/>
      <c r="X707" s="6"/>
      <c r="Y707" s="6"/>
      <c r="Z707" s="6"/>
      <c r="AA707" s="6" t="s">
        <v>91</v>
      </c>
      <c r="AB707" s="8"/>
    </row>
    <row r="708" spans="1:28" s="4" customFormat="1" ht="51.95" customHeight="1">
      <c r="A708" s="5">
        <v>0</v>
      </c>
      <c r="B708" s="6" t="s">
        <v>4206</v>
      </c>
      <c r="C708" s="13">
        <v>312</v>
      </c>
      <c r="D708" s="8" t="s">
        <v>4207</v>
      </c>
      <c r="E708" s="8" t="s">
        <v>4208</v>
      </c>
      <c r="F708" s="8" t="s">
        <v>627</v>
      </c>
      <c r="G708" s="6" t="s">
        <v>628</v>
      </c>
      <c r="H708" s="6" t="s">
        <v>39</v>
      </c>
      <c r="I708" s="8" t="s">
        <v>629</v>
      </c>
      <c r="J708" s="9">
        <v>1</v>
      </c>
      <c r="K708" s="9">
        <v>40</v>
      </c>
      <c r="L708" s="9">
        <v>2023</v>
      </c>
      <c r="M708" s="8" t="s">
        <v>4209</v>
      </c>
      <c r="N708" s="8" t="s">
        <v>177</v>
      </c>
      <c r="O708" s="8" t="s">
        <v>190</v>
      </c>
      <c r="P708" s="6" t="s">
        <v>916</v>
      </c>
      <c r="Q708" s="8" t="s">
        <v>45</v>
      </c>
      <c r="R708" s="10" t="s">
        <v>4210</v>
      </c>
      <c r="S708" s="11"/>
      <c r="T708" s="6"/>
      <c r="U708" s="24" t="str">
        <f>HYPERLINK("https://media.infra-m.ru/2043/2043244/cover/2043244.jpg", "Обложка")</f>
        <v>Обложка</v>
      </c>
      <c r="V708" s="24" t="str">
        <f>HYPERLINK("https://znanium.ru/catalog/product/2043244", "Ознакомиться")</f>
        <v>Ознакомиться</v>
      </c>
      <c r="W708" s="8"/>
      <c r="X708" s="6"/>
      <c r="Y708" s="6"/>
      <c r="Z708" s="6"/>
      <c r="AA708" s="6" t="s">
        <v>129</v>
      </c>
      <c r="AB708" s="8"/>
    </row>
    <row r="709" spans="1:28" s="4" customFormat="1" ht="51.95" customHeight="1">
      <c r="A709" s="5">
        <v>0</v>
      </c>
      <c r="B709" s="6" t="s">
        <v>4211</v>
      </c>
      <c r="C709" s="7">
        <v>1584</v>
      </c>
      <c r="D709" s="8" t="s">
        <v>4212</v>
      </c>
      <c r="E709" s="8" t="s">
        <v>4213</v>
      </c>
      <c r="F709" s="8" t="s">
        <v>4214</v>
      </c>
      <c r="G709" s="6" t="s">
        <v>96</v>
      </c>
      <c r="H709" s="6" t="s">
        <v>39</v>
      </c>
      <c r="I709" s="8" t="s">
        <v>40</v>
      </c>
      <c r="J709" s="9">
        <v>1</v>
      </c>
      <c r="K709" s="9">
        <v>242</v>
      </c>
      <c r="L709" s="9">
        <v>2025</v>
      </c>
      <c r="M709" s="8" t="s">
        <v>4215</v>
      </c>
      <c r="N709" s="8" t="s">
        <v>144</v>
      </c>
      <c r="O709" s="8" t="s">
        <v>145</v>
      </c>
      <c r="P709" s="6" t="s">
        <v>44</v>
      </c>
      <c r="Q709" s="8" t="s">
        <v>45</v>
      </c>
      <c r="R709" s="10" t="s">
        <v>4216</v>
      </c>
      <c r="S709" s="11"/>
      <c r="T709" s="6"/>
      <c r="U709" s="24" t="str">
        <f>HYPERLINK("https://media.infra-m.ru/2129/2129775/cover/2129775.jpg", "Обложка")</f>
        <v>Обложка</v>
      </c>
      <c r="V709" s="24" t="str">
        <f>HYPERLINK("https://znanium.ru/catalog/product/2129775", "Ознакомиться")</f>
        <v>Ознакомиться</v>
      </c>
      <c r="W709" s="8" t="s">
        <v>768</v>
      </c>
      <c r="X709" s="6"/>
      <c r="Y709" s="6"/>
      <c r="Z709" s="6"/>
      <c r="AA709" s="6" t="s">
        <v>360</v>
      </c>
      <c r="AB709" s="8"/>
    </row>
    <row r="710" spans="1:28" s="4" customFormat="1" ht="44.1" customHeight="1">
      <c r="A710" s="5">
        <v>0</v>
      </c>
      <c r="B710" s="6" t="s">
        <v>4217</v>
      </c>
      <c r="C710" s="7">
        <v>1104</v>
      </c>
      <c r="D710" s="8" t="s">
        <v>4218</v>
      </c>
      <c r="E710" s="8" t="s">
        <v>4219</v>
      </c>
      <c r="F710" s="8" t="s">
        <v>4220</v>
      </c>
      <c r="G710" s="6" t="s">
        <v>38</v>
      </c>
      <c r="H710" s="6" t="s">
        <v>39</v>
      </c>
      <c r="I710" s="8" t="s">
        <v>40</v>
      </c>
      <c r="J710" s="9">
        <v>1</v>
      </c>
      <c r="K710" s="9">
        <v>183</v>
      </c>
      <c r="L710" s="9">
        <v>2025</v>
      </c>
      <c r="M710" s="8" t="s">
        <v>4221</v>
      </c>
      <c r="N710" s="8" t="s">
        <v>144</v>
      </c>
      <c r="O710" s="8" t="s">
        <v>145</v>
      </c>
      <c r="P710" s="6" t="s">
        <v>44</v>
      </c>
      <c r="Q710" s="8" t="s">
        <v>45</v>
      </c>
      <c r="R710" s="10" t="s">
        <v>2320</v>
      </c>
      <c r="S710" s="11"/>
      <c r="T710" s="6"/>
      <c r="U710" s="24" t="str">
        <f>HYPERLINK("https://media.infra-m.ru/2178/2178248/cover/2178248.jpg", "Обложка")</f>
        <v>Обложка</v>
      </c>
      <c r="V710" s="24" t="str">
        <f>HYPERLINK("https://znanium.ru/catalog/product/2178248", "Ознакомиться")</f>
        <v>Ознакомиться</v>
      </c>
      <c r="W710" s="8" t="s">
        <v>4222</v>
      </c>
      <c r="X710" s="6"/>
      <c r="Y710" s="6"/>
      <c r="Z710" s="6"/>
      <c r="AA710" s="6" t="s">
        <v>48</v>
      </c>
      <c r="AB710" s="8"/>
    </row>
    <row r="711" spans="1:28" s="4" customFormat="1" ht="44.1" customHeight="1">
      <c r="A711" s="5">
        <v>0</v>
      </c>
      <c r="B711" s="6" t="s">
        <v>4223</v>
      </c>
      <c r="C711" s="13">
        <v>700.8</v>
      </c>
      <c r="D711" s="8" t="s">
        <v>4224</v>
      </c>
      <c r="E711" s="8" t="s">
        <v>4225</v>
      </c>
      <c r="F711" s="8" t="s">
        <v>4226</v>
      </c>
      <c r="G711" s="6" t="s">
        <v>38</v>
      </c>
      <c r="H711" s="6" t="s">
        <v>39</v>
      </c>
      <c r="I711" s="8" t="s">
        <v>1529</v>
      </c>
      <c r="J711" s="9">
        <v>1</v>
      </c>
      <c r="K711" s="9">
        <v>112</v>
      </c>
      <c r="L711" s="9">
        <v>2025</v>
      </c>
      <c r="M711" s="8" t="s">
        <v>4227</v>
      </c>
      <c r="N711" s="8" t="s">
        <v>306</v>
      </c>
      <c r="O711" s="8" t="s">
        <v>307</v>
      </c>
      <c r="P711" s="6" t="s">
        <v>44</v>
      </c>
      <c r="Q711" s="8" t="s">
        <v>45</v>
      </c>
      <c r="R711" s="10" t="s">
        <v>4228</v>
      </c>
      <c r="S711" s="11"/>
      <c r="T711" s="6"/>
      <c r="U711" s="24" t="str">
        <f>HYPERLINK("https://media.infra-m.ru/2163/2163038/cover/2163038.jpg", "Обложка")</f>
        <v>Обложка</v>
      </c>
      <c r="V711" s="24" t="str">
        <f>HYPERLINK("https://znanium.ru/catalog/product/2110063", "Ознакомиться")</f>
        <v>Ознакомиться</v>
      </c>
      <c r="W711" s="8" t="s">
        <v>1532</v>
      </c>
      <c r="X711" s="6"/>
      <c r="Y711" s="6"/>
      <c r="Z711" s="6"/>
      <c r="AA711" s="6" t="s">
        <v>264</v>
      </c>
      <c r="AB711" s="8"/>
    </row>
    <row r="712" spans="1:28" s="4" customFormat="1" ht="51.95" customHeight="1">
      <c r="A712" s="5">
        <v>0</v>
      </c>
      <c r="B712" s="6" t="s">
        <v>4229</v>
      </c>
      <c r="C712" s="7">
        <v>1156.8</v>
      </c>
      <c r="D712" s="8" t="s">
        <v>4230</v>
      </c>
      <c r="E712" s="8" t="s">
        <v>4231</v>
      </c>
      <c r="F712" s="8" t="s">
        <v>4232</v>
      </c>
      <c r="G712" s="6" t="s">
        <v>38</v>
      </c>
      <c r="H712" s="6" t="s">
        <v>39</v>
      </c>
      <c r="I712" s="8" t="s">
        <v>40</v>
      </c>
      <c r="J712" s="9">
        <v>1</v>
      </c>
      <c r="K712" s="9">
        <v>184</v>
      </c>
      <c r="L712" s="9">
        <v>2025</v>
      </c>
      <c r="M712" s="8" t="s">
        <v>4233</v>
      </c>
      <c r="N712" s="8" t="s">
        <v>42</v>
      </c>
      <c r="O712" s="8" t="s">
        <v>72</v>
      </c>
      <c r="P712" s="6" t="s">
        <v>44</v>
      </c>
      <c r="Q712" s="8" t="s">
        <v>45</v>
      </c>
      <c r="R712" s="10" t="s">
        <v>73</v>
      </c>
      <c r="S712" s="11"/>
      <c r="T712" s="6"/>
      <c r="U712" s="24" t="str">
        <f>HYPERLINK("https://media.infra-m.ru/2192/2192213/cover/2192213.jpg", "Обложка")</f>
        <v>Обложка</v>
      </c>
      <c r="V712" s="24" t="str">
        <f>HYPERLINK("https://znanium.ru/catalog/product/918483", "Ознакомиться")</f>
        <v>Ознакомиться</v>
      </c>
      <c r="W712" s="8" t="s">
        <v>1905</v>
      </c>
      <c r="X712" s="6"/>
      <c r="Y712" s="6"/>
      <c r="Z712" s="6"/>
      <c r="AA712" s="6" t="s">
        <v>470</v>
      </c>
      <c r="AB712" s="8"/>
    </row>
    <row r="713" spans="1:28" s="4" customFormat="1" ht="44.1" customHeight="1">
      <c r="A713" s="5">
        <v>0</v>
      </c>
      <c r="B713" s="6" t="s">
        <v>4234</v>
      </c>
      <c r="C713" s="7">
        <v>1372.8</v>
      </c>
      <c r="D713" s="8" t="s">
        <v>4235</v>
      </c>
      <c r="E713" s="8" t="s">
        <v>4236</v>
      </c>
      <c r="F713" s="8" t="s">
        <v>387</v>
      </c>
      <c r="G713" s="6" t="s">
        <v>96</v>
      </c>
      <c r="H713" s="6" t="s">
        <v>39</v>
      </c>
      <c r="I713" s="8" t="s">
        <v>40</v>
      </c>
      <c r="J713" s="9">
        <v>1</v>
      </c>
      <c r="K713" s="9">
        <v>221</v>
      </c>
      <c r="L713" s="9">
        <v>2026</v>
      </c>
      <c r="M713" s="8" t="s">
        <v>4237</v>
      </c>
      <c r="N713" s="8" t="s">
        <v>144</v>
      </c>
      <c r="O713" s="8" t="s">
        <v>145</v>
      </c>
      <c r="P713" s="6" t="s">
        <v>44</v>
      </c>
      <c r="Q713" s="8" t="s">
        <v>45</v>
      </c>
      <c r="R713" s="10" t="s">
        <v>4238</v>
      </c>
      <c r="S713" s="11"/>
      <c r="T713" s="6"/>
      <c r="U713" s="24" t="str">
        <f>HYPERLINK("https://media.infra-m.ru/2216/2216857/cover/2216857.jpg", "Обложка")</f>
        <v>Обложка</v>
      </c>
      <c r="V713" s="24" t="str">
        <f>HYPERLINK("https://znanium.ru/catalog/product/2215358", "Ознакомиться")</f>
        <v>Ознакомиться</v>
      </c>
      <c r="W713" s="8" t="s">
        <v>390</v>
      </c>
      <c r="X713" s="6"/>
      <c r="Y713" s="6"/>
      <c r="Z713" s="6"/>
      <c r="AA713" s="6" t="s">
        <v>91</v>
      </c>
      <c r="AB713" s="8"/>
    </row>
    <row r="714" spans="1:28" s="4" customFormat="1" ht="51.95" customHeight="1">
      <c r="A714" s="5">
        <v>0</v>
      </c>
      <c r="B714" s="6" t="s">
        <v>4239</v>
      </c>
      <c r="C714" s="7">
        <v>1312.8</v>
      </c>
      <c r="D714" s="8" t="s">
        <v>4240</v>
      </c>
      <c r="E714" s="8" t="s">
        <v>4241</v>
      </c>
      <c r="F714" s="8" t="s">
        <v>4242</v>
      </c>
      <c r="G714" s="6" t="s">
        <v>38</v>
      </c>
      <c r="H714" s="6" t="s">
        <v>531</v>
      </c>
      <c r="I714" s="8" t="s">
        <v>532</v>
      </c>
      <c r="J714" s="9">
        <v>1</v>
      </c>
      <c r="K714" s="9">
        <v>238</v>
      </c>
      <c r="L714" s="9">
        <v>2024</v>
      </c>
      <c r="M714" s="8" t="s">
        <v>4243</v>
      </c>
      <c r="N714" s="8" t="s">
        <v>42</v>
      </c>
      <c r="O714" s="8" t="s">
        <v>72</v>
      </c>
      <c r="P714" s="6" t="s">
        <v>44</v>
      </c>
      <c r="Q714" s="8" t="s">
        <v>784</v>
      </c>
      <c r="R714" s="10" t="s">
        <v>4244</v>
      </c>
      <c r="S714" s="11"/>
      <c r="T714" s="6"/>
      <c r="U714" s="24" t="str">
        <f>HYPERLINK("https://media.infra-m.ru/2088/2088254/cover/2088254.jpg", "Обложка")</f>
        <v>Обложка</v>
      </c>
      <c r="V714" s="24" t="str">
        <f>HYPERLINK("https://znanium.ru/catalog/product/1010766", "Ознакомиться")</f>
        <v>Ознакомиться</v>
      </c>
      <c r="W714" s="8" t="s">
        <v>3282</v>
      </c>
      <c r="X714" s="6"/>
      <c r="Y714" s="6"/>
      <c r="Z714" s="6"/>
      <c r="AA714" s="6" t="s">
        <v>193</v>
      </c>
      <c r="AB714" s="8"/>
    </row>
    <row r="715" spans="1:28" s="4" customFormat="1" ht="42" customHeight="1">
      <c r="A715" s="5">
        <v>0</v>
      </c>
      <c r="B715" s="6" t="s">
        <v>4245</v>
      </c>
      <c r="C715" s="13">
        <v>532.79999999999995</v>
      </c>
      <c r="D715" s="8" t="s">
        <v>4246</v>
      </c>
      <c r="E715" s="8" t="s">
        <v>4247</v>
      </c>
      <c r="F715" s="8" t="s">
        <v>4248</v>
      </c>
      <c r="G715" s="6" t="s">
        <v>38</v>
      </c>
      <c r="H715" s="6" t="s">
        <v>39</v>
      </c>
      <c r="I715" s="8" t="s">
        <v>40</v>
      </c>
      <c r="J715" s="9">
        <v>1</v>
      </c>
      <c r="K715" s="9">
        <v>90</v>
      </c>
      <c r="L715" s="9">
        <v>2023</v>
      </c>
      <c r="M715" s="8" t="s">
        <v>4249</v>
      </c>
      <c r="N715" s="8" t="s">
        <v>144</v>
      </c>
      <c r="O715" s="8" t="s">
        <v>145</v>
      </c>
      <c r="P715" s="6" t="s">
        <v>44</v>
      </c>
      <c r="Q715" s="8" t="s">
        <v>45</v>
      </c>
      <c r="R715" s="10" t="s">
        <v>4250</v>
      </c>
      <c r="S715" s="11"/>
      <c r="T715" s="6"/>
      <c r="U715" s="24" t="str">
        <f>HYPERLINK("https://media.infra-m.ru/1996/1996448/cover/1996448.jpg", "Обложка")</f>
        <v>Обложка</v>
      </c>
      <c r="V715" s="24" t="str">
        <f>HYPERLINK("https://znanium.ru/catalog/product/1946493", "Ознакомиться")</f>
        <v>Ознакомиться</v>
      </c>
      <c r="W715" s="8" t="s">
        <v>220</v>
      </c>
      <c r="X715" s="6"/>
      <c r="Y715" s="6"/>
      <c r="Z715" s="6"/>
      <c r="AA715" s="6" t="s">
        <v>264</v>
      </c>
      <c r="AB715" s="8"/>
    </row>
    <row r="716" spans="1:28" s="4" customFormat="1" ht="42" customHeight="1">
      <c r="A716" s="5">
        <v>0</v>
      </c>
      <c r="B716" s="6" t="s">
        <v>4251</v>
      </c>
      <c r="C716" s="7">
        <v>4028.4</v>
      </c>
      <c r="D716" s="8" t="s">
        <v>4252</v>
      </c>
      <c r="E716" s="8" t="s">
        <v>4253</v>
      </c>
      <c r="F716" s="8" t="s">
        <v>4254</v>
      </c>
      <c r="G716" s="6" t="s">
        <v>96</v>
      </c>
      <c r="H716" s="6" t="s">
        <v>39</v>
      </c>
      <c r="I716" s="8" t="s">
        <v>340</v>
      </c>
      <c r="J716" s="9">
        <v>1</v>
      </c>
      <c r="K716" s="9">
        <v>551</v>
      </c>
      <c r="L716" s="9">
        <v>2025</v>
      </c>
      <c r="M716" s="8" t="s">
        <v>4255</v>
      </c>
      <c r="N716" s="8" t="s">
        <v>42</v>
      </c>
      <c r="O716" s="8" t="s">
        <v>72</v>
      </c>
      <c r="P716" s="6" t="s">
        <v>271</v>
      </c>
      <c r="Q716" s="8" t="s">
        <v>45</v>
      </c>
      <c r="R716" s="10" t="s">
        <v>4256</v>
      </c>
      <c r="S716" s="11"/>
      <c r="T716" s="6"/>
      <c r="U716" s="24" t="str">
        <f>HYPERLINK("https://media.infra-m.ru/2196/2196495/cover/2196495.jpg", "Обложка")</f>
        <v>Обложка</v>
      </c>
      <c r="V716" s="24" t="str">
        <f>HYPERLINK("https://znanium.ru/catalog/product/2107427", "Ознакомиться")</f>
        <v>Ознакомиться</v>
      </c>
      <c r="W716" s="8" t="s">
        <v>1601</v>
      </c>
      <c r="X716" s="6"/>
      <c r="Y716" s="6"/>
      <c r="Z716" s="6"/>
      <c r="AA716" s="6" t="s">
        <v>213</v>
      </c>
      <c r="AB716" s="8"/>
    </row>
    <row r="717" spans="1:28" s="4" customFormat="1" ht="42" customHeight="1">
      <c r="A717" s="5">
        <v>0</v>
      </c>
      <c r="B717" s="6" t="s">
        <v>4257</v>
      </c>
      <c r="C717" s="13">
        <v>410.3</v>
      </c>
      <c r="D717" s="8" t="s">
        <v>4258</v>
      </c>
      <c r="E717" s="8" t="s">
        <v>4259</v>
      </c>
      <c r="F717" s="8" t="s">
        <v>4260</v>
      </c>
      <c r="G717" s="6" t="s">
        <v>38</v>
      </c>
      <c r="H717" s="6" t="s">
        <v>39</v>
      </c>
      <c r="I717" s="8" t="s">
        <v>40</v>
      </c>
      <c r="J717" s="9">
        <v>1</v>
      </c>
      <c r="K717" s="9">
        <v>195</v>
      </c>
      <c r="L717" s="9">
        <v>2019</v>
      </c>
      <c r="M717" s="8" t="s">
        <v>4261</v>
      </c>
      <c r="N717" s="8" t="s">
        <v>42</v>
      </c>
      <c r="O717" s="8" t="s">
        <v>72</v>
      </c>
      <c r="P717" s="6" t="s">
        <v>44</v>
      </c>
      <c r="Q717" s="8" t="s">
        <v>45</v>
      </c>
      <c r="R717" s="10" t="s">
        <v>952</v>
      </c>
      <c r="S717" s="11"/>
      <c r="T717" s="6"/>
      <c r="U717" s="24" t="str">
        <f>HYPERLINK("https://media.infra-m.ru/1020/1020523/cover/1020523.jpg", "Обложка")</f>
        <v>Обложка</v>
      </c>
      <c r="V717" s="24" t="str">
        <f>HYPERLINK("https://znanium.ru/catalog/product/1020523", "Ознакомиться")</f>
        <v>Ознакомиться</v>
      </c>
      <c r="W717" s="8" t="s">
        <v>156</v>
      </c>
      <c r="X717" s="6"/>
      <c r="Y717" s="6"/>
      <c r="Z717" s="6"/>
      <c r="AA717" s="6" t="s">
        <v>57</v>
      </c>
      <c r="AB717" s="8"/>
    </row>
    <row r="718" spans="1:28" s="4" customFormat="1" ht="42" customHeight="1">
      <c r="A718" s="5">
        <v>0</v>
      </c>
      <c r="B718" s="6" t="s">
        <v>4262</v>
      </c>
      <c r="C718" s="13">
        <v>468</v>
      </c>
      <c r="D718" s="8" t="s">
        <v>4263</v>
      </c>
      <c r="E718" s="8" t="s">
        <v>4264</v>
      </c>
      <c r="F718" s="8" t="s">
        <v>4265</v>
      </c>
      <c r="G718" s="6" t="s">
        <v>38</v>
      </c>
      <c r="H718" s="6" t="s">
        <v>39</v>
      </c>
      <c r="I718" s="8" t="s">
        <v>4266</v>
      </c>
      <c r="J718" s="9">
        <v>1</v>
      </c>
      <c r="K718" s="9">
        <v>113</v>
      </c>
      <c r="L718" s="9">
        <v>2018</v>
      </c>
      <c r="M718" s="8" t="s">
        <v>4267</v>
      </c>
      <c r="N718" s="8" t="s">
        <v>42</v>
      </c>
      <c r="O718" s="8" t="s">
        <v>72</v>
      </c>
      <c r="P718" s="6" t="s">
        <v>44</v>
      </c>
      <c r="Q718" s="8" t="s">
        <v>45</v>
      </c>
      <c r="R718" s="10" t="s">
        <v>1600</v>
      </c>
      <c r="S718" s="11"/>
      <c r="T718" s="6"/>
      <c r="U718" s="24" t="str">
        <f>HYPERLINK("https://media.infra-m.ru/0951/0951404/cover/951404.jpg", "Обложка")</f>
        <v>Обложка</v>
      </c>
      <c r="V718" s="24" t="str">
        <f>HYPERLINK("https://znanium.ru/catalog/product/2142537", "Ознакомиться")</f>
        <v>Ознакомиться</v>
      </c>
      <c r="W718" s="8" t="s">
        <v>1237</v>
      </c>
      <c r="X718" s="6"/>
      <c r="Y718" s="6"/>
      <c r="Z718" s="6"/>
      <c r="AA718" s="6" t="s">
        <v>138</v>
      </c>
      <c r="AB718" s="8"/>
    </row>
    <row r="719" spans="1:28" s="4" customFormat="1" ht="42" customHeight="1">
      <c r="A719" s="5">
        <v>0</v>
      </c>
      <c r="B719" s="6" t="s">
        <v>4268</v>
      </c>
      <c r="C719" s="7">
        <v>1128</v>
      </c>
      <c r="D719" s="8" t="s">
        <v>4269</v>
      </c>
      <c r="E719" s="8" t="s">
        <v>4270</v>
      </c>
      <c r="F719" s="8" t="s">
        <v>4271</v>
      </c>
      <c r="G719" s="6" t="s">
        <v>38</v>
      </c>
      <c r="H719" s="6" t="s">
        <v>39</v>
      </c>
      <c r="I719" s="8" t="s">
        <v>40</v>
      </c>
      <c r="J719" s="9">
        <v>1</v>
      </c>
      <c r="K719" s="9">
        <v>203</v>
      </c>
      <c r="L719" s="9">
        <v>2024</v>
      </c>
      <c r="M719" s="8" t="s">
        <v>4272</v>
      </c>
      <c r="N719" s="8" t="s">
        <v>42</v>
      </c>
      <c r="O719" s="8" t="s">
        <v>72</v>
      </c>
      <c r="P719" s="6" t="s">
        <v>44</v>
      </c>
      <c r="Q719" s="8" t="s">
        <v>45</v>
      </c>
      <c r="R719" s="10" t="s">
        <v>4273</v>
      </c>
      <c r="S719" s="11"/>
      <c r="T719" s="6"/>
      <c r="U719" s="24" t="str">
        <f>HYPERLINK("https://media.infra-m.ru/2054/2054116/cover/2054116.jpg", "Обложка")</f>
        <v>Обложка</v>
      </c>
      <c r="V719" s="24" t="str">
        <f>HYPERLINK("https://znanium.ru/catalog/product/2054116", "Ознакомиться")</f>
        <v>Ознакомиться</v>
      </c>
      <c r="W719" s="8" t="s">
        <v>768</v>
      </c>
      <c r="X719" s="6"/>
      <c r="Y719" s="6"/>
      <c r="Z719" s="6"/>
      <c r="AA719" s="6" t="s">
        <v>129</v>
      </c>
      <c r="AB719" s="8"/>
    </row>
    <row r="720" spans="1:28" s="4" customFormat="1" ht="51.95" customHeight="1">
      <c r="A720" s="5">
        <v>0</v>
      </c>
      <c r="B720" s="6" t="s">
        <v>4274</v>
      </c>
      <c r="C720" s="13">
        <v>528</v>
      </c>
      <c r="D720" s="8" t="s">
        <v>4275</v>
      </c>
      <c r="E720" s="8" t="s">
        <v>4276</v>
      </c>
      <c r="F720" s="8" t="s">
        <v>1206</v>
      </c>
      <c r="G720" s="6" t="s">
        <v>38</v>
      </c>
      <c r="H720" s="6" t="s">
        <v>39</v>
      </c>
      <c r="I720" s="8" t="s">
        <v>40</v>
      </c>
      <c r="J720" s="9">
        <v>24</v>
      </c>
      <c r="K720" s="9">
        <v>140</v>
      </c>
      <c r="L720" s="9">
        <v>2016</v>
      </c>
      <c r="M720" s="8" t="s">
        <v>4277</v>
      </c>
      <c r="N720" s="8" t="s">
        <v>42</v>
      </c>
      <c r="O720" s="8" t="s">
        <v>72</v>
      </c>
      <c r="P720" s="6" t="s">
        <v>44</v>
      </c>
      <c r="Q720" s="8" t="s">
        <v>45</v>
      </c>
      <c r="R720" s="10" t="s">
        <v>4278</v>
      </c>
      <c r="S720" s="11"/>
      <c r="T720" s="6"/>
      <c r="U720" s="24" t="str">
        <f>HYPERLINK("https://media.infra-m.ru/0557/0557011/cover/557011.jpg", "Обложка")</f>
        <v>Обложка</v>
      </c>
      <c r="V720" s="24" t="str">
        <f>HYPERLINK("https://znanium.ru/catalog/product/2120737", "Ознакомиться")</f>
        <v>Ознакомиться</v>
      </c>
      <c r="W720" s="8" t="s">
        <v>760</v>
      </c>
      <c r="X720" s="6"/>
      <c r="Y720" s="6"/>
      <c r="Z720" s="6"/>
      <c r="AA720" s="6" t="s">
        <v>470</v>
      </c>
      <c r="AB720" s="8"/>
    </row>
    <row r="721" spans="1:28" s="4" customFormat="1" ht="51.95" customHeight="1">
      <c r="A721" s="5">
        <v>0</v>
      </c>
      <c r="B721" s="6" t="s">
        <v>4279</v>
      </c>
      <c r="C721" s="13">
        <v>936</v>
      </c>
      <c r="D721" s="8" t="s">
        <v>4280</v>
      </c>
      <c r="E721" s="8" t="s">
        <v>4281</v>
      </c>
      <c r="F721" s="8" t="s">
        <v>1206</v>
      </c>
      <c r="G721" s="6" t="s">
        <v>38</v>
      </c>
      <c r="H721" s="6" t="s">
        <v>39</v>
      </c>
      <c r="I721" s="8" t="s">
        <v>40</v>
      </c>
      <c r="J721" s="9">
        <v>1</v>
      </c>
      <c r="K721" s="9">
        <v>154</v>
      </c>
      <c r="L721" s="9">
        <v>2025</v>
      </c>
      <c r="M721" s="8" t="s">
        <v>4282</v>
      </c>
      <c r="N721" s="8" t="s">
        <v>42</v>
      </c>
      <c r="O721" s="8" t="s">
        <v>72</v>
      </c>
      <c r="P721" s="6" t="s">
        <v>44</v>
      </c>
      <c r="Q721" s="8" t="s">
        <v>45</v>
      </c>
      <c r="R721" s="10" t="s">
        <v>4278</v>
      </c>
      <c r="S721" s="11"/>
      <c r="T721" s="6"/>
      <c r="U721" s="24" t="str">
        <f>HYPERLINK("https://media.infra-m.ru/2120/2120737/cover/2120737.jpg", "Обложка")</f>
        <v>Обложка</v>
      </c>
      <c r="V721" s="24" t="str">
        <f>HYPERLINK("https://znanium.ru/catalog/product/2120737", "Ознакомиться")</f>
        <v>Ознакомиться</v>
      </c>
      <c r="W721" s="8" t="s">
        <v>760</v>
      </c>
      <c r="X721" s="6"/>
      <c r="Y721" s="6"/>
      <c r="Z721" s="6"/>
      <c r="AA721" s="6" t="s">
        <v>1688</v>
      </c>
      <c r="AB721" s="8"/>
    </row>
    <row r="722" spans="1:28" s="4" customFormat="1" ht="51.95" customHeight="1">
      <c r="A722" s="5">
        <v>0</v>
      </c>
      <c r="B722" s="6" t="s">
        <v>4283</v>
      </c>
      <c r="C722" s="7">
        <v>1684.8</v>
      </c>
      <c r="D722" s="8" t="s">
        <v>4284</v>
      </c>
      <c r="E722" s="8" t="s">
        <v>4285</v>
      </c>
      <c r="F722" s="8" t="s">
        <v>4286</v>
      </c>
      <c r="G722" s="6" t="s">
        <v>38</v>
      </c>
      <c r="H722" s="6" t="s">
        <v>531</v>
      </c>
      <c r="I722" s="8" t="s">
        <v>532</v>
      </c>
      <c r="J722" s="9">
        <v>1</v>
      </c>
      <c r="K722" s="9">
        <v>311</v>
      </c>
      <c r="L722" s="9">
        <v>2023</v>
      </c>
      <c r="M722" s="8" t="s">
        <v>4287</v>
      </c>
      <c r="N722" s="8" t="s">
        <v>42</v>
      </c>
      <c r="O722" s="8" t="s">
        <v>72</v>
      </c>
      <c r="P722" s="6" t="s">
        <v>44</v>
      </c>
      <c r="Q722" s="8" t="s">
        <v>45</v>
      </c>
      <c r="R722" s="10" t="s">
        <v>73</v>
      </c>
      <c r="S722" s="11"/>
      <c r="T722" s="6"/>
      <c r="U722" s="24" t="str">
        <f>HYPERLINK("https://media.infra-m.ru/1981/1981662/cover/1981662.jpg", "Обложка")</f>
        <v>Обложка</v>
      </c>
      <c r="V722" s="24" t="str">
        <f>HYPERLINK("https://znanium.ru/catalog/product/1861348", "Ознакомиться")</f>
        <v>Ознакомиться</v>
      </c>
      <c r="W722" s="8" t="s">
        <v>1128</v>
      </c>
      <c r="X722" s="6"/>
      <c r="Y722" s="6"/>
      <c r="Z722" s="6"/>
      <c r="AA722" s="6" t="s">
        <v>183</v>
      </c>
      <c r="AB722" s="8"/>
    </row>
    <row r="723" spans="1:28" s="4" customFormat="1" ht="51.95" customHeight="1">
      <c r="A723" s="5">
        <v>0</v>
      </c>
      <c r="B723" s="6" t="s">
        <v>4288</v>
      </c>
      <c r="C723" s="7">
        <v>2220</v>
      </c>
      <c r="D723" s="8" t="s">
        <v>4289</v>
      </c>
      <c r="E723" s="8" t="s">
        <v>4290</v>
      </c>
      <c r="F723" s="8" t="s">
        <v>125</v>
      </c>
      <c r="G723" s="6" t="s">
        <v>96</v>
      </c>
      <c r="H723" s="6" t="s">
        <v>39</v>
      </c>
      <c r="I723" s="8" t="s">
        <v>40</v>
      </c>
      <c r="J723" s="9">
        <v>1</v>
      </c>
      <c r="K723" s="9">
        <v>353</v>
      </c>
      <c r="L723" s="9">
        <v>2025</v>
      </c>
      <c r="M723" s="8" t="s">
        <v>4291</v>
      </c>
      <c r="N723" s="8" t="s">
        <v>42</v>
      </c>
      <c r="O723" s="8" t="s">
        <v>72</v>
      </c>
      <c r="P723" s="6" t="s">
        <v>44</v>
      </c>
      <c r="Q723" s="8" t="s">
        <v>45</v>
      </c>
      <c r="R723" s="10" t="s">
        <v>4292</v>
      </c>
      <c r="S723" s="11"/>
      <c r="T723" s="6"/>
      <c r="U723" s="24" t="str">
        <f>HYPERLINK("https://media.infra-m.ru/2180/2180376/cover/2180376.jpg", "Обложка")</f>
        <v>Обложка</v>
      </c>
      <c r="V723" s="24" t="str">
        <f>HYPERLINK("https://znanium.ru/catalog/product/2180376", "Ознакомиться")</f>
        <v>Ознакомиться</v>
      </c>
      <c r="W723" s="8" t="s">
        <v>128</v>
      </c>
      <c r="X723" s="6" t="s">
        <v>1407</v>
      </c>
      <c r="Y723" s="6"/>
      <c r="Z723" s="6"/>
      <c r="AA723" s="6" t="s">
        <v>360</v>
      </c>
      <c r="AB723" s="8"/>
    </row>
    <row r="724" spans="1:28" s="4" customFormat="1" ht="42" customHeight="1">
      <c r="A724" s="5">
        <v>0</v>
      </c>
      <c r="B724" s="6" t="s">
        <v>4293</v>
      </c>
      <c r="C724" s="7">
        <v>1320</v>
      </c>
      <c r="D724" s="8" t="s">
        <v>4294</v>
      </c>
      <c r="E724" s="8" t="s">
        <v>4295</v>
      </c>
      <c r="F724" s="8" t="s">
        <v>4296</v>
      </c>
      <c r="G724" s="6" t="s">
        <v>38</v>
      </c>
      <c r="H724" s="6" t="s">
        <v>39</v>
      </c>
      <c r="I724" s="8" t="s">
        <v>40</v>
      </c>
      <c r="J724" s="9">
        <v>1</v>
      </c>
      <c r="K724" s="9">
        <v>262</v>
      </c>
      <c r="L724" s="9">
        <v>2022</v>
      </c>
      <c r="M724" s="8" t="s">
        <v>4297</v>
      </c>
      <c r="N724" s="8" t="s">
        <v>42</v>
      </c>
      <c r="O724" s="8" t="s">
        <v>72</v>
      </c>
      <c r="P724" s="6" t="s">
        <v>44</v>
      </c>
      <c r="Q724" s="8" t="s">
        <v>45</v>
      </c>
      <c r="R724" s="10" t="s">
        <v>127</v>
      </c>
      <c r="S724" s="11"/>
      <c r="T724" s="6"/>
      <c r="U724" s="24" t="str">
        <f>HYPERLINK("https://media.infra-m.ru/1864/1864984/cover/1864984.jpg", "Обложка")</f>
        <v>Обложка</v>
      </c>
      <c r="V724" s="24" t="str">
        <f>HYPERLINK("https://znanium.ru/catalog/product/1864984", "Ознакомиться")</f>
        <v>Ознакомиться</v>
      </c>
      <c r="W724" s="8" t="s">
        <v>929</v>
      </c>
      <c r="X724" s="6"/>
      <c r="Y724" s="6"/>
      <c r="Z724" s="6"/>
      <c r="AA724" s="6" t="s">
        <v>57</v>
      </c>
      <c r="AB724" s="8"/>
    </row>
    <row r="725" spans="1:28" s="4" customFormat="1" ht="42" customHeight="1">
      <c r="A725" s="5">
        <v>0</v>
      </c>
      <c r="B725" s="6" t="s">
        <v>4298</v>
      </c>
      <c r="C725" s="13">
        <v>628.79999999999995</v>
      </c>
      <c r="D725" s="8" t="s">
        <v>4299</v>
      </c>
      <c r="E725" s="8" t="s">
        <v>4300</v>
      </c>
      <c r="F725" s="8" t="s">
        <v>4301</v>
      </c>
      <c r="G725" s="6" t="s">
        <v>38</v>
      </c>
      <c r="H725" s="6" t="s">
        <v>39</v>
      </c>
      <c r="I725" s="8" t="s">
        <v>1529</v>
      </c>
      <c r="J725" s="9">
        <v>1</v>
      </c>
      <c r="K725" s="9">
        <v>115</v>
      </c>
      <c r="L725" s="9">
        <v>2023</v>
      </c>
      <c r="M725" s="8" t="s">
        <v>4302</v>
      </c>
      <c r="N725" s="8" t="s">
        <v>42</v>
      </c>
      <c r="O725" s="8" t="s">
        <v>72</v>
      </c>
      <c r="P725" s="6" t="s">
        <v>44</v>
      </c>
      <c r="Q725" s="8" t="s">
        <v>45</v>
      </c>
      <c r="R725" s="10" t="s">
        <v>1027</v>
      </c>
      <c r="S725" s="11"/>
      <c r="T725" s="6"/>
      <c r="U725" s="24" t="str">
        <f>HYPERLINK("https://media.infra-m.ru/2006/2006872/cover/2006872.jpg", "Обложка")</f>
        <v>Обложка</v>
      </c>
      <c r="V725" s="12"/>
      <c r="W725" s="8" t="s">
        <v>1532</v>
      </c>
      <c r="X725" s="6"/>
      <c r="Y725" s="6"/>
      <c r="Z725" s="6"/>
      <c r="AA725" s="6" t="s">
        <v>138</v>
      </c>
      <c r="AB725" s="8"/>
    </row>
    <row r="726" spans="1:28" s="4" customFormat="1" ht="42" customHeight="1">
      <c r="A726" s="5">
        <v>0</v>
      </c>
      <c r="B726" s="6" t="s">
        <v>4303</v>
      </c>
      <c r="C726" s="7">
        <v>1524</v>
      </c>
      <c r="D726" s="8" t="s">
        <v>4304</v>
      </c>
      <c r="E726" s="8" t="s">
        <v>4305</v>
      </c>
      <c r="F726" s="8" t="s">
        <v>4306</v>
      </c>
      <c r="G726" s="6" t="s">
        <v>38</v>
      </c>
      <c r="H726" s="6" t="s">
        <v>39</v>
      </c>
      <c r="I726" s="8" t="s">
        <v>40</v>
      </c>
      <c r="J726" s="9">
        <v>1</v>
      </c>
      <c r="K726" s="9">
        <v>240</v>
      </c>
      <c r="L726" s="9">
        <v>2025</v>
      </c>
      <c r="M726" s="8" t="s">
        <v>4307</v>
      </c>
      <c r="N726" s="8" t="s">
        <v>42</v>
      </c>
      <c r="O726" s="8" t="s">
        <v>72</v>
      </c>
      <c r="P726" s="6" t="s">
        <v>44</v>
      </c>
      <c r="Q726" s="8" t="s">
        <v>45</v>
      </c>
      <c r="R726" s="10" t="s">
        <v>1027</v>
      </c>
      <c r="S726" s="11"/>
      <c r="T726" s="6"/>
      <c r="U726" s="24" t="str">
        <f>HYPERLINK("https://media.infra-m.ru/2180/2180378/cover/2180378.jpg", "Обложка")</f>
        <v>Обложка</v>
      </c>
      <c r="V726" s="24" t="str">
        <f>HYPERLINK("https://znanium.ru/catalog/product/2180378", "Ознакомиться")</f>
        <v>Ознакомиться</v>
      </c>
      <c r="W726" s="8" t="s">
        <v>1099</v>
      </c>
      <c r="X726" s="6" t="s">
        <v>1407</v>
      </c>
      <c r="Y726" s="6"/>
      <c r="Z726" s="6"/>
      <c r="AA726" s="6" t="s">
        <v>360</v>
      </c>
      <c r="AB726" s="8"/>
    </row>
    <row r="727" spans="1:28" s="4" customFormat="1" ht="42" customHeight="1">
      <c r="A727" s="5">
        <v>0</v>
      </c>
      <c r="B727" s="6" t="s">
        <v>4308</v>
      </c>
      <c r="C727" s="7">
        <v>2340</v>
      </c>
      <c r="D727" s="8" t="s">
        <v>4309</v>
      </c>
      <c r="E727" s="8" t="s">
        <v>4310</v>
      </c>
      <c r="F727" s="8" t="s">
        <v>4311</v>
      </c>
      <c r="G727" s="6" t="s">
        <v>38</v>
      </c>
      <c r="H727" s="6" t="s">
        <v>39</v>
      </c>
      <c r="I727" s="8" t="s">
        <v>40</v>
      </c>
      <c r="J727" s="9">
        <v>1</v>
      </c>
      <c r="K727" s="9">
        <v>390</v>
      </c>
      <c r="L727" s="9">
        <v>2025</v>
      </c>
      <c r="M727" s="8" t="s">
        <v>4312</v>
      </c>
      <c r="N727" s="8" t="s">
        <v>42</v>
      </c>
      <c r="O727" s="8" t="s">
        <v>72</v>
      </c>
      <c r="P727" s="6" t="s">
        <v>44</v>
      </c>
      <c r="Q727" s="8" t="s">
        <v>45</v>
      </c>
      <c r="R727" s="10" t="s">
        <v>127</v>
      </c>
      <c r="S727" s="11"/>
      <c r="T727" s="6"/>
      <c r="U727" s="24" t="str">
        <f>HYPERLINK("https://media.infra-m.ru/2174/2174464/cover/2174464.jpg", "Обложка")</f>
        <v>Обложка</v>
      </c>
      <c r="V727" s="24" t="str">
        <f>HYPERLINK("https://znanium.ru/catalog/product/2174464", "Ознакомиться")</f>
        <v>Ознакомиться</v>
      </c>
      <c r="W727" s="8" t="s">
        <v>1874</v>
      </c>
      <c r="X727" s="6"/>
      <c r="Y727" s="6"/>
      <c r="Z727" s="6"/>
      <c r="AA727" s="6" t="s">
        <v>391</v>
      </c>
      <c r="AB727" s="8"/>
    </row>
    <row r="728" spans="1:28" s="4" customFormat="1" ht="51.95" customHeight="1">
      <c r="A728" s="5">
        <v>0</v>
      </c>
      <c r="B728" s="6" t="s">
        <v>4313</v>
      </c>
      <c r="C728" s="7">
        <v>1644</v>
      </c>
      <c r="D728" s="8" t="s">
        <v>4314</v>
      </c>
      <c r="E728" s="8" t="s">
        <v>4315</v>
      </c>
      <c r="F728" s="8" t="s">
        <v>4316</v>
      </c>
      <c r="G728" s="6" t="s">
        <v>38</v>
      </c>
      <c r="H728" s="6" t="s">
        <v>531</v>
      </c>
      <c r="I728" s="8" t="s">
        <v>4317</v>
      </c>
      <c r="J728" s="9">
        <v>1</v>
      </c>
      <c r="K728" s="9">
        <v>274</v>
      </c>
      <c r="L728" s="9">
        <v>2024</v>
      </c>
      <c r="M728" s="8" t="s">
        <v>4318</v>
      </c>
      <c r="N728" s="8" t="s">
        <v>42</v>
      </c>
      <c r="O728" s="8" t="s">
        <v>72</v>
      </c>
      <c r="P728" s="6" t="s">
        <v>44</v>
      </c>
      <c r="Q728" s="8" t="s">
        <v>45</v>
      </c>
      <c r="R728" s="10" t="s">
        <v>4319</v>
      </c>
      <c r="S728" s="11"/>
      <c r="T728" s="6"/>
      <c r="U728" s="24" t="str">
        <f>HYPERLINK("https://media.infra-m.ru/2157/2157866/cover/2157866.jpg", "Обложка")</f>
        <v>Обложка</v>
      </c>
      <c r="V728" s="24" t="str">
        <f>HYPERLINK("https://znanium.ru/catalog/product/1760131", "Ознакомиться")</f>
        <v>Ознакомиться</v>
      </c>
      <c r="W728" s="8" t="s">
        <v>3282</v>
      </c>
      <c r="X728" s="6"/>
      <c r="Y728" s="6"/>
      <c r="Z728" s="6"/>
      <c r="AA728" s="6" t="s">
        <v>3401</v>
      </c>
      <c r="AB728" s="8"/>
    </row>
    <row r="729" spans="1:28" s="4" customFormat="1" ht="51.95" customHeight="1">
      <c r="A729" s="5">
        <v>0</v>
      </c>
      <c r="B729" s="6" t="s">
        <v>4320</v>
      </c>
      <c r="C729" s="7">
        <v>1020</v>
      </c>
      <c r="D729" s="8" t="s">
        <v>4321</v>
      </c>
      <c r="E729" s="8" t="s">
        <v>4322</v>
      </c>
      <c r="F729" s="8" t="s">
        <v>4316</v>
      </c>
      <c r="G729" s="6" t="s">
        <v>38</v>
      </c>
      <c r="H729" s="6" t="s">
        <v>531</v>
      </c>
      <c r="I729" s="8" t="s">
        <v>531</v>
      </c>
      <c r="J729" s="9">
        <v>1</v>
      </c>
      <c r="K729" s="9">
        <v>274</v>
      </c>
      <c r="L729" s="9">
        <v>2018</v>
      </c>
      <c r="M729" s="8" t="s">
        <v>4323</v>
      </c>
      <c r="N729" s="8" t="s">
        <v>42</v>
      </c>
      <c r="O729" s="8" t="s">
        <v>72</v>
      </c>
      <c r="P729" s="6" t="s">
        <v>44</v>
      </c>
      <c r="Q729" s="8" t="s">
        <v>3558</v>
      </c>
      <c r="R729" s="10" t="s">
        <v>4319</v>
      </c>
      <c r="S729" s="11"/>
      <c r="T729" s="6"/>
      <c r="U729" s="24" t="str">
        <f>HYPERLINK("https://media.infra-m.ru/0939/0939414/cover/939414.jpg", "Обложка")</f>
        <v>Обложка</v>
      </c>
      <c r="V729" s="24" t="str">
        <f>HYPERLINK("https://znanium.ru/catalog/product/1760131", "Ознакомиться")</f>
        <v>Ознакомиться</v>
      </c>
      <c r="W729" s="8" t="s">
        <v>3282</v>
      </c>
      <c r="X729" s="6"/>
      <c r="Y729" s="6"/>
      <c r="Z729" s="6"/>
      <c r="AA729" s="6" t="s">
        <v>213</v>
      </c>
      <c r="AB729" s="8"/>
    </row>
    <row r="730" spans="1:28" s="4" customFormat="1" ht="51.95" customHeight="1">
      <c r="A730" s="5">
        <v>0</v>
      </c>
      <c r="B730" s="6" t="s">
        <v>4324</v>
      </c>
      <c r="C730" s="7">
        <v>1836</v>
      </c>
      <c r="D730" s="8" t="s">
        <v>4325</v>
      </c>
      <c r="E730" s="8" t="s">
        <v>4326</v>
      </c>
      <c r="F730" s="8" t="s">
        <v>4327</v>
      </c>
      <c r="G730" s="6" t="s">
        <v>96</v>
      </c>
      <c r="H730" s="6" t="s">
        <v>39</v>
      </c>
      <c r="I730" s="8" t="s">
        <v>40</v>
      </c>
      <c r="J730" s="9">
        <v>1</v>
      </c>
      <c r="K730" s="9">
        <v>331</v>
      </c>
      <c r="L730" s="9">
        <v>2024</v>
      </c>
      <c r="M730" s="8" t="s">
        <v>4328</v>
      </c>
      <c r="N730" s="8" t="s">
        <v>144</v>
      </c>
      <c r="O730" s="8" t="s">
        <v>145</v>
      </c>
      <c r="P730" s="6" t="s">
        <v>44</v>
      </c>
      <c r="Q730" s="8" t="s">
        <v>45</v>
      </c>
      <c r="R730" s="10" t="s">
        <v>4329</v>
      </c>
      <c r="S730" s="11"/>
      <c r="T730" s="6"/>
      <c r="U730" s="24" t="str">
        <f>HYPERLINK("https://media.infra-m.ru/2091/2091440/cover/2091440.jpg", "Обложка")</f>
        <v>Обложка</v>
      </c>
      <c r="V730" s="24" t="str">
        <f>HYPERLINK("https://znanium.ru/catalog/product/2091440", "Ознакомиться")</f>
        <v>Ознакомиться</v>
      </c>
      <c r="W730" s="8" t="s">
        <v>1022</v>
      </c>
      <c r="X730" s="6"/>
      <c r="Y730" s="6"/>
      <c r="Z730" s="6"/>
      <c r="AA730" s="6" t="s">
        <v>48</v>
      </c>
      <c r="AB730" s="8"/>
    </row>
    <row r="731" spans="1:28" s="4" customFormat="1" ht="42" customHeight="1">
      <c r="A731" s="5">
        <v>0</v>
      </c>
      <c r="B731" s="6" t="s">
        <v>4330</v>
      </c>
      <c r="C731" s="13">
        <v>892.8</v>
      </c>
      <c r="D731" s="8" t="s">
        <v>4331</v>
      </c>
      <c r="E731" s="8" t="s">
        <v>4332</v>
      </c>
      <c r="F731" s="8" t="s">
        <v>2325</v>
      </c>
      <c r="G731" s="6" t="s">
        <v>38</v>
      </c>
      <c r="H731" s="6" t="s">
        <v>39</v>
      </c>
      <c r="I731" s="8" t="s">
        <v>40</v>
      </c>
      <c r="J731" s="9">
        <v>1</v>
      </c>
      <c r="K731" s="9">
        <v>144</v>
      </c>
      <c r="L731" s="9">
        <v>2025</v>
      </c>
      <c r="M731" s="8" t="s">
        <v>4333</v>
      </c>
      <c r="N731" s="8" t="s">
        <v>144</v>
      </c>
      <c r="O731" s="8" t="s">
        <v>145</v>
      </c>
      <c r="P731" s="6" t="s">
        <v>44</v>
      </c>
      <c r="Q731" s="8" t="s">
        <v>45</v>
      </c>
      <c r="R731" s="10" t="s">
        <v>4334</v>
      </c>
      <c r="S731" s="11"/>
      <c r="T731" s="6"/>
      <c r="U731" s="24" t="str">
        <f>HYPERLINK("https://media.infra-m.ru/2217/2217979/cover/2217979.jpg", "Обложка")</f>
        <v>Обложка</v>
      </c>
      <c r="V731" s="24" t="str">
        <f>HYPERLINK("https://znanium.ru/catalog/product/2074386", "Ознакомиться")</f>
        <v>Ознакомиться</v>
      </c>
      <c r="W731" s="8" t="s">
        <v>241</v>
      </c>
      <c r="X731" s="6"/>
      <c r="Y731" s="6"/>
      <c r="Z731" s="6"/>
      <c r="AA731" s="6" t="s">
        <v>83</v>
      </c>
      <c r="AB731" s="8"/>
    </row>
    <row r="732" spans="1:28" s="4" customFormat="1" ht="44.1" customHeight="1">
      <c r="A732" s="5">
        <v>0</v>
      </c>
      <c r="B732" s="6" t="s">
        <v>4335</v>
      </c>
      <c r="C732" s="7">
        <v>1356</v>
      </c>
      <c r="D732" s="8" t="s">
        <v>4336</v>
      </c>
      <c r="E732" s="8" t="s">
        <v>4337</v>
      </c>
      <c r="F732" s="8" t="s">
        <v>4338</v>
      </c>
      <c r="G732" s="6" t="s">
        <v>38</v>
      </c>
      <c r="H732" s="6" t="s">
        <v>39</v>
      </c>
      <c r="I732" s="8" t="s">
        <v>40</v>
      </c>
      <c r="J732" s="9">
        <v>1</v>
      </c>
      <c r="K732" s="9">
        <v>225</v>
      </c>
      <c r="L732" s="9">
        <v>2025</v>
      </c>
      <c r="M732" s="8" t="s">
        <v>4339</v>
      </c>
      <c r="N732" s="8" t="s">
        <v>144</v>
      </c>
      <c r="O732" s="8" t="s">
        <v>145</v>
      </c>
      <c r="P732" s="6" t="s">
        <v>44</v>
      </c>
      <c r="Q732" s="8" t="s">
        <v>45</v>
      </c>
      <c r="R732" s="10" t="s">
        <v>2320</v>
      </c>
      <c r="S732" s="11"/>
      <c r="T732" s="6"/>
      <c r="U732" s="24" t="str">
        <f>HYPERLINK("https://media.infra-m.ru/2133/2133678/cover/2133678.jpg", "Обложка")</f>
        <v>Обложка</v>
      </c>
      <c r="V732" s="24" t="str">
        <f>HYPERLINK("https://znanium.ru/catalog/product/2133678", "Ознакомиться")</f>
        <v>Ознакомиться</v>
      </c>
      <c r="W732" s="8" t="s">
        <v>3211</v>
      </c>
      <c r="X732" s="6"/>
      <c r="Y732" s="6"/>
      <c r="Z732" s="6"/>
      <c r="AA732" s="6" t="s">
        <v>360</v>
      </c>
      <c r="AB732" s="8"/>
    </row>
    <row r="733" spans="1:28" s="4" customFormat="1" ht="42" customHeight="1">
      <c r="A733" s="5">
        <v>0</v>
      </c>
      <c r="B733" s="6" t="s">
        <v>4340</v>
      </c>
      <c r="C733" s="7">
        <v>1152</v>
      </c>
      <c r="D733" s="8" t="s">
        <v>4341</v>
      </c>
      <c r="E733" s="8" t="s">
        <v>4342</v>
      </c>
      <c r="F733" s="8" t="s">
        <v>4343</v>
      </c>
      <c r="G733" s="6" t="s">
        <v>38</v>
      </c>
      <c r="H733" s="6" t="s">
        <v>39</v>
      </c>
      <c r="I733" s="8" t="s">
        <v>40</v>
      </c>
      <c r="J733" s="9">
        <v>1</v>
      </c>
      <c r="K733" s="9">
        <v>173</v>
      </c>
      <c r="L733" s="9">
        <v>2025</v>
      </c>
      <c r="M733" s="8" t="s">
        <v>4344</v>
      </c>
      <c r="N733" s="8" t="s">
        <v>144</v>
      </c>
      <c r="O733" s="8" t="s">
        <v>145</v>
      </c>
      <c r="P733" s="6" t="s">
        <v>44</v>
      </c>
      <c r="Q733" s="8" t="s">
        <v>45</v>
      </c>
      <c r="R733" s="10" t="s">
        <v>2461</v>
      </c>
      <c r="S733" s="11"/>
      <c r="T733" s="6"/>
      <c r="U733" s="24" t="str">
        <f>HYPERLINK("https://media.infra-m.ru/2174/2174817/cover/2174817.jpg", "Обложка")</f>
        <v>Обложка</v>
      </c>
      <c r="V733" s="24" t="str">
        <f>HYPERLINK("https://znanium.ru/catalog/product/2174817", "Ознакомиться")</f>
        <v>Ознакомиться</v>
      </c>
      <c r="W733" s="8" t="s">
        <v>2125</v>
      </c>
      <c r="X733" s="6" t="s">
        <v>1407</v>
      </c>
      <c r="Y733" s="6"/>
      <c r="Z733" s="6"/>
      <c r="AA733" s="6" t="s">
        <v>360</v>
      </c>
      <c r="AB733" s="8"/>
    </row>
    <row r="734" spans="1:28" s="4" customFormat="1" ht="42" customHeight="1">
      <c r="A734" s="5">
        <v>0</v>
      </c>
      <c r="B734" s="6" t="s">
        <v>4345</v>
      </c>
      <c r="C734" s="7">
        <v>1000.8</v>
      </c>
      <c r="D734" s="8" t="s">
        <v>4346</v>
      </c>
      <c r="E734" s="8" t="s">
        <v>4347</v>
      </c>
      <c r="F734" s="8" t="s">
        <v>4348</v>
      </c>
      <c r="G734" s="6" t="s">
        <v>38</v>
      </c>
      <c r="H734" s="6" t="s">
        <v>39</v>
      </c>
      <c r="I734" s="8" t="s">
        <v>40</v>
      </c>
      <c r="J734" s="9">
        <v>1</v>
      </c>
      <c r="K734" s="9">
        <v>181</v>
      </c>
      <c r="L734" s="9">
        <v>2024</v>
      </c>
      <c r="M734" s="8" t="s">
        <v>4349</v>
      </c>
      <c r="N734" s="8" t="s">
        <v>144</v>
      </c>
      <c r="O734" s="8" t="s">
        <v>145</v>
      </c>
      <c r="P734" s="6" t="s">
        <v>44</v>
      </c>
      <c r="Q734" s="8" t="s">
        <v>45</v>
      </c>
      <c r="R734" s="10" t="s">
        <v>1035</v>
      </c>
      <c r="S734" s="11"/>
      <c r="T734" s="6"/>
      <c r="U734" s="24" t="str">
        <f>HYPERLINK("https://media.infra-m.ru/2120/2120777/cover/2120777.jpg", "Обложка")</f>
        <v>Обложка</v>
      </c>
      <c r="V734" s="24" t="str">
        <f>HYPERLINK("https://znanium.ru/catalog/product/2120777", "Ознакомиться")</f>
        <v>Ознакомиться</v>
      </c>
      <c r="W734" s="8" t="s">
        <v>4350</v>
      </c>
      <c r="X734" s="6"/>
      <c r="Y734" s="6"/>
      <c r="Z734" s="6"/>
      <c r="AA734" s="6" t="s">
        <v>227</v>
      </c>
      <c r="AB734" s="8"/>
    </row>
    <row r="735" spans="1:28" s="4" customFormat="1" ht="44.1" customHeight="1">
      <c r="A735" s="5">
        <v>0</v>
      </c>
      <c r="B735" s="6" t="s">
        <v>4351</v>
      </c>
      <c r="C735" s="13">
        <v>540</v>
      </c>
      <c r="D735" s="8" t="s">
        <v>4352</v>
      </c>
      <c r="E735" s="8" t="s">
        <v>4353</v>
      </c>
      <c r="F735" s="8" t="s">
        <v>4354</v>
      </c>
      <c r="G735" s="6" t="s">
        <v>38</v>
      </c>
      <c r="H735" s="6" t="s">
        <v>39</v>
      </c>
      <c r="I735" s="8" t="s">
        <v>40</v>
      </c>
      <c r="J735" s="9">
        <v>1</v>
      </c>
      <c r="K735" s="9">
        <v>117</v>
      </c>
      <c r="L735" s="9">
        <v>2020</v>
      </c>
      <c r="M735" s="8" t="s">
        <v>4355</v>
      </c>
      <c r="N735" s="8" t="s">
        <v>144</v>
      </c>
      <c r="O735" s="8" t="s">
        <v>145</v>
      </c>
      <c r="P735" s="6" t="s">
        <v>44</v>
      </c>
      <c r="Q735" s="8" t="s">
        <v>45</v>
      </c>
      <c r="R735" s="10" t="s">
        <v>4356</v>
      </c>
      <c r="S735" s="11"/>
      <c r="T735" s="6"/>
      <c r="U735" s="24" t="str">
        <f>HYPERLINK("https://media.infra-m.ru/1043/1043103/cover/1043103.jpg", "Обложка")</f>
        <v>Обложка</v>
      </c>
      <c r="V735" s="24" t="str">
        <f>HYPERLINK("https://znanium.ru/catalog/product/1043103", "Ознакомиться")</f>
        <v>Ознакомиться</v>
      </c>
      <c r="W735" s="8" t="s">
        <v>2455</v>
      </c>
      <c r="X735" s="6"/>
      <c r="Y735" s="6"/>
      <c r="Z735" s="6"/>
      <c r="AA735" s="6" t="s">
        <v>391</v>
      </c>
      <c r="AB735" s="8"/>
    </row>
    <row r="736" spans="1:28" s="4" customFormat="1" ht="44.1" customHeight="1">
      <c r="A736" s="5">
        <v>0</v>
      </c>
      <c r="B736" s="6" t="s">
        <v>4357</v>
      </c>
      <c r="C736" s="7">
        <v>1020</v>
      </c>
      <c r="D736" s="8" t="s">
        <v>4358</v>
      </c>
      <c r="E736" s="8" t="s">
        <v>4359</v>
      </c>
      <c r="F736" s="8" t="s">
        <v>4360</v>
      </c>
      <c r="G736" s="6" t="s">
        <v>38</v>
      </c>
      <c r="H736" s="6" t="s">
        <v>39</v>
      </c>
      <c r="I736" s="8" t="s">
        <v>40</v>
      </c>
      <c r="J736" s="9">
        <v>1</v>
      </c>
      <c r="K736" s="9">
        <v>217</v>
      </c>
      <c r="L736" s="9">
        <v>2020</v>
      </c>
      <c r="M736" s="8" t="s">
        <v>4361</v>
      </c>
      <c r="N736" s="8" t="s">
        <v>42</v>
      </c>
      <c r="O736" s="8" t="s">
        <v>89</v>
      </c>
      <c r="P736" s="6" t="s">
        <v>44</v>
      </c>
      <c r="Q736" s="8" t="s">
        <v>45</v>
      </c>
      <c r="R736" s="10" t="s">
        <v>4362</v>
      </c>
      <c r="S736" s="11"/>
      <c r="T736" s="6"/>
      <c r="U736" s="24" t="str">
        <f>HYPERLINK("https://media.infra-m.ru/1053/1053569/cover/1053569.jpg", "Обложка")</f>
        <v>Обложка</v>
      </c>
      <c r="V736" s="24" t="str">
        <f>HYPERLINK("https://znanium.ru/catalog/product/1053569", "Ознакомиться")</f>
        <v>Ознакомиться</v>
      </c>
      <c r="W736" s="8" t="s">
        <v>74</v>
      </c>
      <c r="X736" s="6"/>
      <c r="Y736" s="6"/>
      <c r="Z736" s="6"/>
      <c r="AA736" s="6" t="s">
        <v>391</v>
      </c>
      <c r="AB736" s="8"/>
    </row>
    <row r="737" spans="1:28" s="4" customFormat="1" ht="42" customHeight="1">
      <c r="A737" s="5">
        <v>0</v>
      </c>
      <c r="B737" s="6" t="s">
        <v>4363</v>
      </c>
      <c r="C737" s="7">
        <v>1080</v>
      </c>
      <c r="D737" s="8" t="s">
        <v>4364</v>
      </c>
      <c r="E737" s="8" t="s">
        <v>4365</v>
      </c>
      <c r="F737" s="8" t="s">
        <v>4366</v>
      </c>
      <c r="G737" s="6" t="s">
        <v>38</v>
      </c>
      <c r="H737" s="6" t="s">
        <v>39</v>
      </c>
      <c r="I737" s="8" t="s">
        <v>40</v>
      </c>
      <c r="J737" s="9">
        <v>1</v>
      </c>
      <c r="K737" s="9">
        <v>163</v>
      </c>
      <c r="L737" s="9">
        <v>2026</v>
      </c>
      <c r="M737" s="8" t="s">
        <v>4367</v>
      </c>
      <c r="N737" s="8" t="s">
        <v>42</v>
      </c>
      <c r="O737" s="8" t="s">
        <v>43</v>
      </c>
      <c r="P737" s="6" t="s">
        <v>44</v>
      </c>
      <c r="Q737" s="8" t="s">
        <v>45</v>
      </c>
      <c r="R737" s="10" t="s">
        <v>4368</v>
      </c>
      <c r="S737" s="11"/>
      <c r="T737" s="6"/>
      <c r="U737" s="24" t="str">
        <f>HYPERLINK("https://media.infra-m.ru/2224/2224093/cover/2224093.jpg", "Обложка")</f>
        <v>Обложка</v>
      </c>
      <c r="V737" s="24" t="str">
        <f>HYPERLINK("https://znanium.ru/catalog/product/2224093", "Ознакомиться")</f>
        <v>Ознакомиться</v>
      </c>
      <c r="W737" s="8" t="s">
        <v>329</v>
      </c>
      <c r="X737" s="6"/>
      <c r="Y737" s="6"/>
      <c r="Z737" s="6"/>
      <c r="AA737" s="6" t="s">
        <v>227</v>
      </c>
      <c r="AB737" s="8"/>
    </row>
    <row r="738" spans="1:28" s="4" customFormat="1" ht="42" customHeight="1">
      <c r="A738" s="5">
        <v>0</v>
      </c>
      <c r="B738" s="6" t="s">
        <v>4369</v>
      </c>
      <c r="C738" s="13">
        <v>299.89999999999998</v>
      </c>
      <c r="D738" s="8" t="s">
        <v>4370</v>
      </c>
      <c r="E738" s="8" t="s">
        <v>4371</v>
      </c>
      <c r="F738" s="8" t="s">
        <v>4372</v>
      </c>
      <c r="G738" s="6" t="s">
        <v>38</v>
      </c>
      <c r="H738" s="6" t="s">
        <v>39</v>
      </c>
      <c r="I738" s="8" t="s">
        <v>40</v>
      </c>
      <c r="J738" s="9">
        <v>1</v>
      </c>
      <c r="K738" s="9">
        <v>144</v>
      </c>
      <c r="L738" s="9">
        <v>2014</v>
      </c>
      <c r="M738" s="8" t="s">
        <v>4373</v>
      </c>
      <c r="N738" s="8" t="s">
        <v>42</v>
      </c>
      <c r="O738" s="8" t="s">
        <v>43</v>
      </c>
      <c r="P738" s="6" t="s">
        <v>44</v>
      </c>
      <c r="Q738" s="8" t="s">
        <v>45</v>
      </c>
      <c r="R738" s="10" t="s">
        <v>335</v>
      </c>
      <c r="S738" s="11"/>
      <c r="T738" s="6"/>
      <c r="U738" s="24" t="str">
        <f>HYPERLINK("https://media.infra-m.ru/0453/0453762/cover/453762.jpg", "Обложка")</f>
        <v>Обложка</v>
      </c>
      <c r="V738" s="24" t="str">
        <f>HYPERLINK("https://znanium.ru/catalog/product/307832", "Ознакомиться")</f>
        <v>Ознакомиться</v>
      </c>
      <c r="W738" s="8" t="s">
        <v>329</v>
      </c>
      <c r="X738" s="6"/>
      <c r="Y738" s="6"/>
      <c r="Z738" s="6"/>
      <c r="AA738" s="6" t="s">
        <v>470</v>
      </c>
      <c r="AB738" s="8"/>
    </row>
    <row r="739" spans="1:28" s="4" customFormat="1" ht="42" customHeight="1">
      <c r="A739" s="5">
        <v>0</v>
      </c>
      <c r="B739" s="6" t="s">
        <v>4374</v>
      </c>
      <c r="C739" s="7">
        <v>1944</v>
      </c>
      <c r="D739" s="8" t="s">
        <v>4375</v>
      </c>
      <c r="E739" s="8" t="s">
        <v>4376</v>
      </c>
      <c r="F739" s="8" t="s">
        <v>1741</v>
      </c>
      <c r="G739" s="6" t="s">
        <v>38</v>
      </c>
      <c r="H739" s="6" t="s">
        <v>39</v>
      </c>
      <c r="I739" s="8" t="s">
        <v>40</v>
      </c>
      <c r="J739" s="9">
        <v>1</v>
      </c>
      <c r="K739" s="9">
        <v>413</v>
      </c>
      <c r="L739" s="9">
        <v>2022</v>
      </c>
      <c r="M739" s="8" t="s">
        <v>4377</v>
      </c>
      <c r="N739" s="8" t="s">
        <v>42</v>
      </c>
      <c r="O739" s="8" t="s">
        <v>43</v>
      </c>
      <c r="P739" s="6" t="s">
        <v>44</v>
      </c>
      <c r="Q739" s="8" t="s">
        <v>45</v>
      </c>
      <c r="R739" s="10" t="s">
        <v>4378</v>
      </c>
      <c r="S739" s="11"/>
      <c r="T739" s="6"/>
      <c r="U739" s="24" t="str">
        <f>HYPERLINK("https://media.infra-m.ru/1544/1544136/cover/1544136.jpg", "Обложка")</f>
        <v>Обложка</v>
      </c>
      <c r="V739" s="24" t="str">
        <f>HYPERLINK("https://znanium.ru/catalog/product/1544136", "Ознакомиться")</f>
        <v>Ознакомиться</v>
      </c>
      <c r="W739" s="8" t="s">
        <v>256</v>
      </c>
      <c r="X739" s="6"/>
      <c r="Y739" s="6"/>
      <c r="Z739" s="6"/>
      <c r="AA739" s="6" t="s">
        <v>83</v>
      </c>
      <c r="AB739" s="8"/>
    </row>
    <row r="740" spans="1:28" s="4" customFormat="1" ht="51.95" customHeight="1">
      <c r="A740" s="5">
        <v>0</v>
      </c>
      <c r="B740" s="6" t="s">
        <v>4379</v>
      </c>
      <c r="C740" s="7">
        <v>1296</v>
      </c>
      <c r="D740" s="8" t="s">
        <v>4380</v>
      </c>
      <c r="E740" s="8" t="s">
        <v>4381</v>
      </c>
      <c r="F740" s="8" t="s">
        <v>395</v>
      </c>
      <c r="G740" s="6" t="s">
        <v>38</v>
      </c>
      <c r="H740" s="6" t="s">
        <v>39</v>
      </c>
      <c r="I740" s="8" t="s">
        <v>40</v>
      </c>
      <c r="J740" s="9">
        <v>1</v>
      </c>
      <c r="K740" s="9">
        <v>240</v>
      </c>
      <c r="L740" s="9">
        <v>2022</v>
      </c>
      <c r="M740" s="8" t="s">
        <v>4382</v>
      </c>
      <c r="N740" s="8" t="s">
        <v>42</v>
      </c>
      <c r="O740" s="8" t="s">
        <v>89</v>
      </c>
      <c r="P740" s="6" t="s">
        <v>44</v>
      </c>
      <c r="Q740" s="8" t="s">
        <v>45</v>
      </c>
      <c r="R740" s="10" t="s">
        <v>4383</v>
      </c>
      <c r="S740" s="11"/>
      <c r="T740" s="6"/>
      <c r="U740" s="24" t="str">
        <f>HYPERLINK("https://media.infra-m.ru/1852/1852202/cover/1852202.jpg", "Обложка")</f>
        <v>Обложка</v>
      </c>
      <c r="V740" s="24" t="str">
        <f>HYPERLINK("https://znanium.ru/catalog/product/1852202", "Ознакомиться")</f>
        <v>Ознакомиться</v>
      </c>
      <c r="W740" s="8" t="s">
        <v>358</v>
      </c>
      <c r="X740" s="6"/>
      <c r="Y740" s="6"/>
      <c r="Z740" s="6"/>
      <c r="AA740" s="6" t="s">
        <v>183</v>
      </c>
      <c r="AB740" s="8"/>
    </row>
    <row r="741" spans="1:28" s="4" customFormat="1" ht="51.95" customHeight="1">
      <c r="A741" s="5">
        <v>0</v>
      </c>
      <c r="B741" s="6" t="s">
        <v>4384</v>
      </c>
      <c r="C741" s="7">
        <v>1584</v>
      </c>
      <c r="D741" s="8" t="s">
        <v>4385</v>
      </c>
      <c r="E741" s="8" t="s">
        <v>4386</v>
      </c>
      <c r="F741" s="8" t="s">
        <v>297</v>
      </c>
      <c r="G741" s="6" t="s">
        <v>38</v>
      </c>
      <c r="H741" s="6" t="s">
        <v>39</v>
      </c>
      <c r="I741" s="8" t="s">
        <v>40</v>
      </c>
      <c r="J741" s="9">
        <v>1</v>
      </c>
      <c r="K741" s="9">
        <v>264</v>
      </c>
      <c r="L741" s="9">
        <v>2025</v>
      </c>
      <c r="M741" s="8" t="s">
        <v>4387</v>
      </c>
      <c r="N741" s="8" t="s">
        <v>42</v>
      </c>
      <c r="O741" s="8" t="s">
        <v>43</v>
      </c>
      <c r="P741" s="6" t="s">
        <v>425</v>
      </c>
      <c r="Q741" s="8" t="s">
        <v>45</v>
      </c>
      <c r="R741" s="10" t="s">
        <v>279</v>
      </c>
      <c r="S741" s="11"/>
      <c r="T741" s="6"/>
      <c r="U741" s="24" t="str">
        <f>HYPERLINK("https://media.infra-m.ru/2161/2161297/cover/2161297.jpg", "Обложка")</f>
        <v>Обложка</v>
      </c>
      <c r="V741" s="24" t="str">
        <f>HYPERLINK("https://znanium.ru/catalog/product/2161297", "Ознакомиться")</f>
        <v>Ознакомиться</v>
      </c>
      <c r="W741" s="8" t="s">
        <v>241</v>
      </c>
      <c r="X741" s="6"/>
      <c r="Y741" s="6"/>
      <c r="Z741" s="6"/>
      <c r="AA741" s="6" t="s">
        <v>213</v>
      </c>
      <c r="AB741" s="8"/>
    </row>
    <row r="742" spans="1:28" s="4" customFormat="1" ht="42" customHeight="1">
      <c r="A742" s="5">
        <v>0</v>
      </c>
      <c r="B742" s="6" t="s">
        <v>4388</v>
      </c>
      <c r="C742" s="7">
        <v>1944</v>
      </c>
      <c r="D742" s="8" t="s">
        <v>4389</v>
      </c>
      <c r="E742" s="8" t="s">
        <v>4390</v>
      </c>
      <c r="F742" s="8" t="s">
        <v>4391</v>
      </c>
      <c r="G742" s="6" t="s">
        <v>96</v>
      </c>
      <c r="H742" s="6" t="s">
        <v>39</v>
      </c>
      <c r="I742" s="8" t="s">
        <v>340</v>
      </c>
      <c r="J742" s="9">
        <v>1</v>
      </c>
      <c r="K742" s="9">
        <v>310</v>
      </c>
      <c r="L742" s="9">
        <v>2025</v>
      </c>
      <c r="M742" s="8" t="s">
        <v>4392</v>
      </c>
      <c r="N742" s="8" t="s">
        <v>423</v>
      </c>
      <c r="O742" s="8" t="s">
        <v>4393</v>
      </c>
      <c r="P742" s="6" t="s">
        <v>271</v>
      </c>
      <c r="Q742" s="8" t="s">
        <v>45</v>
      </c>
      <c r="R742" s="10" t="s">
        <v>4394</v>
      </c>
      <c r="S742" s="11"/>
      <c r="T742" s="6"/>
      <c r="U742" s="24" t="str">
        <f>HYPERLINK("https://media.infra-m.ru/1959/1959275/cover/1959275.jpg", "Обложка")</f>
        <v>Обложка</v>
      </c>
      <c r="V742" s="24" t="str">
        <f>HYPERLINK("https://znanium.ru/catalog/product/1959275", "Ознакомиться")</f>
        <v>Ознакомиться</v>
      </c>
      <c r="W742" s="8" t="s">
        <v>1099</v>
      </c>
      <c r="X742" s="6"/>
      <c r="Y742" s="6"/>
      <c r="Z742" s="6"/>
      <c r="AA742" s="6" t="s">
        <v>360</v>
      </c>
      <c r="AB742" s="8"/>
    </row>
    <row r="743" spans="1:28" s="4" customFormat="1" ht="42" customHeight="1">
      <c r="A743" s="5">
        <v>0</v>
      </c>
      <c r="B743" s="6" t="s">
        <v>4395</v>
      </c>
      <c r="C743" s="7">
        <v>2452.8000000000002</v>
      </c>
      <c r="D743" s="8" t="s">
        <v>4396</v>
      </c>
      <c r="E743" s="8" t="s">
        <v>4397</v>
      </c>
      <c r="F743" s="8" t="s">
        <v>4398</v>
      </c>
      <c r="G743" s="6" t="s">
        <v>96</v>
      </c>
      <c r="H743" s="6" t="s">
        <v>188</v>
      </c>
      <c r="I743" s="8"/>
      <c r="J743" s="9">
        <v>1</v>
      </c>
      <c r="K743" s="9">
        <v>576</v>
      </c>
      <c r="L743" s="9">
        <v>2024</v>
      </c>
      <c r="M743" s="8" t="s">
        <v>4399</v>
      </c>
      <c r="N743" s="8" t="s">
        <v>42</v>
      </c>
      <c r="O743" s="8" t="s">
        <v>908</v>
      </c>
      <c r="P743" s="6" t="s">
        <v>459</v>
      </c>
      <c r="Q743" s="8" t="s">
        <v>45</v>
      </c>
      <c r="R743" s="10" t="s">
        <v>1699</v>
      </c>
      <c r="S743" s="11"/>
      <c r="T743" s="6"/>
      <c r="U743" s="24" t="str">
        <f>HYPERLINK("https://media.infra-m.ru/2105/2105369/cover/2105369.jpg", "Обложка")</f>
        <v>Обложка</v>
      </c>
      <c r="V743" s="12"/>
      <c r="W743" s="8" t="s">
        <v>544</v>
      </c>
      <c r="X743" s="6"/>
      <c r="Y743" s="6"/>
      <c r="Z743" s="6"/>
      <c r="AA743" s="6" t="s">
        <v>75</v>
      </c>
      <c r="AB743" s="8"/>
    </row>
    <row r="744" spans="1:28" s="4" customFormat="1" ht="44.1" customHeight="1">
      <c r="A744" s="5">
        <v>0</v>
      </c>
      <c r="B744" s="6" t="s">
        <v>4400</v>
      </c>
      <c r="C744" s="13">
        <v>648</v>
      </c>
      <c r="D744" s="8" t="s">
        <v>4401</v>
      </c>
      <c r="E744" s="8" t="s">
        <v>4402</v>
      </c>
      <c r="F744" s="8" t="s">
        <v>4403</v>
      </c>
      <c r="G744" s="6" t="s">
        <v>38</v>
      </c>
      <c r="H744" s="6" t="s">
        <v>39</v>
      </c>
      <c r="I744" s="8" t="s">
        <v>40</v>
      </c>
      <c r="J744" s="9">
        <v>1</v>
      </c>
      <c r="K744" s="9">
        <v>116</v>
      </c>
      <c r="L744" s="9">
        <v>2024</v>
      </c>
      <c r="M744" s="8" t="s">
        <v>4404</v>
      </c>
      <c r="N744" s="8" t="s">
        <v>42</v>
      </c>
      <c r="O744" s="8" t="s">
        <v>43</v>
      </c>
      <c r="P744" s="6" t="s">
        <v>44</v>
      </c>
      <c r="Q744" s="8" t="s">
        <v>45</v>
      </c>
      <c r="R744" s="10" t="s">
        <v>3839</v>
      </c>
      <c r="S744" s="11"/>
      <c r="T744" s="6"/>
      <c r="U744" s="24" t="str">
        <f>HYPERLINK("https://media.infra-m.ru/2106/2106744/cover/2106744.jpg", "Обложка")</f>
        <v>Обложка</v>
      </c>
      <c r="V744" s="24" t="str">
        <f>HYPERLINK("https://znanium.ru/catalog/product/2106744", "Ознакомиться")</f>
        <v>Ознакомиться</v>
      </c>
      <c r="W744" s="8" t="s">
        <v>329</v>
      </c>
      <c r="X744" s="6"/>
      <c r="Y744" s="6"/>
      <c r="Z744" s="6"/>
      <c r="AA744" s="6" t="s">
        <v>183</v>
      </c>
      <c r="AB744" s="8"/>
    </row>
    <row r="745" spans="1:28" s="4" customFormat="1" ht="51.95" customHeight="1">
      <c r="A745" s="5">
        <v>0</v>
      </c>
      <c r="B745" s="6" t="s">
        <v>4405</v>
      </c>
      <c r="C745" s="7">
        <v>1188</v>
      </c>
      <c r="D745" s="8" t="s">
        <v>4406</v>
      </c>
      <c r="E745" s="8" t="s">
        <v>4407</v>
      </c>
      <c r="F745" s="8" t="s">
        <v>4408</v>
      </c>
      <c r="G745" s="6" t="s">
        <v>38</v>
      </c>
      <c r="H745" s="6" t="s">
        <v>39</v>
      </c>
      <c r="I745" s="8" t="s">
        <v>40</v>
      </c>
      <c r="J745" s="9">
        <v>1</v>
      </c>
      <c r="K745" s="9">
        <v>185</v>
      </c>
      <c r="L745" s="9">
        <v>2026</v>
      </c>
      <c r="M745" s="8" t="s">
        <v>4409</v>
      </c>
      <c r="N745" s="8" t="s">
        <v>144</v>
      </c>
      <c r="O745" s="8" t="s">
        <v>145</v>
      </c>
      <c r="P745" s="6" t="s">
        <v>44</v>
      </c>
      <c r="Q745" s="8" t="s">
        <v>45</v>
      </c>
      <c r="R745" s="10" t="s">
        <v>4410</v>
      </c>
      <c r="S745" s="11"/>
      <c r="T745" s="6"/>
      <c r="U745" s="24" t="str">
        <f>HYPERLINK("https://media.infra-m.ru/2219/2219027/cover/2219027.jpg", "Обложка")</f>
        <v>Обложка</v>
      </c>
      <c r="V745" s="24" t="str">
        <f>HYPERLINK("https://znanium.ru/catalog/product/2219027", "Ознакомиться")</f>
        <v>Ознакомиться</v>
      </c>
      <c r="W745" s="8" t="s">
        <v>3129</v>
      </c>
      <c r="X745" s="6"/>
      <c r="Y745" s="6"/>
      <c r="Z745" s="6"/>
      <c r="AA745" s="6" t="s">
        <v>91</v>
      </c>
      <c r="AB745" s="8"/>
    </row>
    <row r="746" spans="1:28" s="4" customFormat="1" ht="42" customHeight="1">
      <c r="A746" s="5">
        <v>0</v>
      </c>
      <c r="B746" s="6" t="s">
        <v>4411</v>
      </c>
      <c r="C746" s="7">
        <v>1152</v>
      </c>
      <c r="D746" s="8" t="s">
        <v>4412</v>
      </c>
      <c r="E746" s="8" t="s">
        <v>4413</v>
      </c>
      <c r="F746" s="8" t="s">
        <v>4414</v>
      </c>
      <c r="G746" s="6" t="s">
        <v>38</v>
      </c>
      <c r="H746" s="6" t="s">
        <v>39</v>
      </c>
      <c r="I746" s="8" t="s">
        <v>1126</v>
      </c>
      <c r="J746" s="9">
        <v>1</v>
      </c>
      <c r="K746" s="9">
        <v>178</v>
      </c>
      <c r="L746" s="9">
        <v>2026</v>
      </c>
      <c r="M746" s="8" t="s">
        <v>4415</v>
      </c>
      <c r="N746" s="8" t="s">
        <v>42</v>
      </c>
      <c r="O746" s="8" t="s">
        <v>72</v>
      </c>
      <c r="P746" s="6" t="s">
        <v>44</v>
      </c>
      <c r="Q746" s="8" t="s">
        <v>45</v>
      </c>
      <c r="R746" s="10" t="s">
        <v>4416</v>
      </c>
      <c r="S746" s="11"/>
      <c r="T746" s="6"/>
      <c r="U746" s="24" t="str">
        <f>HYPERLINK("https://media.infra-m.ru/2217/2217013/cover/2217013.jpg", "Обложка")</f>
        <v>Обложка</v>
      </c>
      <c r="V746" s="24" t="str">
        <f>HYPERLINK("https://znanium.ru/catalog/product/2217013", "Ознакомиться")</f>
        <v>Ознакомиться</v>
      </c>
      <c r="W746" s="8" t="s">
        <v>4417</v>
      </c>
      <c r="X746" s="6"/>
      <c r="Y746" s="6"/>
      <c r="Z746" s="6"/>
      <c r="AA746" s="6" t="s">
        <v>83</v>
      </c>
      <c r="AB746" s="8"/>
    </row>
    <row r="747" spans="1:28" s="4" customFormat="1" ht="44.1" customHeight="1">
      <c r="A747" s="5">
        <v>0</v>
      </c>
      <c r="B747" s="6" t="s">
        <v>4418</v>
      </c>
      <c r="C747" s="7">
        <v>1980</v>
      </c>
      <c r="D747" s="8" t="s">
        <v>4419</v>
      </c>
      <c r="E747" s="8" t="s">
        <v>4420</v>
      </c>
      <c r="F747" s="8" t="s">
        <v>4421</v>
      </c>
      <c r="G747" s="6" t="s">
        <v>62</v>
      </c>
      <c r="H747" s="6" t="s">
        <v>39</v>
      </c>
      <c r="I747" s="8" t="s">
        <v>40</v>
      </c>
      <c r="J747" s="9">
        <v>1</v>
      </c>
      <c r="K747" s="9">
        <v>293</v>
      </c>
      <c r="L747" s="9">
        <v>2026</v>
      </c>
      <c r="M747" s="8" t="s">
        <v>4422</v>
      </c>
      <c r="N747" s="8" t="s">
        <v>42</v>
      </c>
      <c r="O747" s="8" t="s">
        <v>104</v>
      </c>
      <c r="P747" s="6" t="s">
        <v>44</v>
      </c>
      <c r="Q747" s="8" t="s">
        <v>45</v>
      </c>
      <c r="R747" s="10" t="s">
        <v>4423</v>
      </c>
      <c r="S747" s="11"/>
      <c r="T747" s="6"/>
      <c r="U747" s="24" t="str">
        <f>HYPERLINK("https://media.infra-m.ru/2224/2224066/cover/2224066.jpg", "Обложка")</f>
        <v>Обложка</v>
      </c>
      <c r="V747" s="24" t="str">
        <f>HYPERLINK("https://znanium.ru/catalog/product/2224066", "Ознакомиться")</f>
        <v>Ознакомиться</v>
      </c>
      <c r="W747" s="8" t="s">
        <v>4424</v>
      </c>
      <c r="X747" s="6"/>
      <c r="Y747" s="6"/>
      <c r="Z747" s="6"/>
      <c r="AA747" s="6" t="s">
        <v>48</v>
      </c>
      <c r="AB747" s="8" t="s">
        <v>4425</v>
      </c>
    </row>
    <row r="748" spans="1:28" s="4" customFormat="1" ht="51.95" customHeight="1">
      <c r="A748" s="5">
        <v>0</v>
      </c>
      <c r="B748" s="6" t="s">
        <v>4426</v>
      </c>
      <c r="C748" s="7">
        <v>1536</v>
      </c>
      <c r="D748" s="8" t="s">
        <v>4427</v>
      </c>
      <c r="E748" s="8" t="s">
        <v>4428</v>
      </c>
      <c r="F748" s="8" t="s">
        <v>4429</v>
      </c>
      <c r="G748" s="6" t="s">
        <v>38</v>
      </c>
      <c r="H748" s="6" t="s">
        <v>39</v>
      </c>
      <c r="I748" s="8" t="s">
        <v>40</v>
      </c>
      <c r="J748" s="9">
        <v>1</v>
      </c>
      <c r="K748" s="9">
        <v>336</v>
      </c>
      <c r="L748" s="9">
        <v>2022</v>
      </c>
      <c r="M748" s="8" t="s">
        <v>4430</v>
      </c>
      <c r="N748" s="8" t="s">
        <v>42</v>
      </c>
      <c r="O748" s="8" t="s">
        <v>72</v>
      </c>
      <c r="P748" s="6" t="s">
        <v>44</v>
      </c>
      <c r="Q748" s="8" t="s">
        <v>45</v>
      </c>
      <c r="R748" s="10" t="s">
        <v>4431</v>
      </c>
      <c r="S748" s="11"/>
      <c r="T748" s="6"/>
      <c r="U748" s="24" t="str">
        <f>HYPERLINK("https://media.infra-m.ru/1864/1864135/cover/1864135.jpg", "Обложка")</f>
        <v>Обложка</v>
      </c>
      <c r="V748" s="24" t="str">
        <f>HYPERLINK("https://znanium.ru/catalog/product/1864135", "Ознакомиться")</f>
        <v>Ознакомиться</v>
      </c>
      <c r="W748" s="8" t="s">
        <v>147</v>
      </c>
      <c r="X748" s="6"/>
      <c r="Y748" s="6"/>
      <c r="Z748" s="6"/>
      <c r="AA748" s="6" t="s">
        <v>129</v>
      </c>
      <c r="AB748" s="8"/>
    </row>
    <row r="749" spans="1:28" s="4" customFormat="1" ht="51.95" customHeight="1">
      <c r="A749" s="5">
        <v>0</v>
      </c>
      <c r="B749" s="6" t="s">
        <v>4432</v>
      </c>
      <c r="C749" s="7">
        <v>1188</v>
      </c>
      <c r="D749" s="8" t="s">
        <v>4433</v>
      </c>
      <c r="E749" s="8" t="s">
        <v>4434</v>
      </c>
      <c r="F749" s="8" t="s">
        <v>3140</v>
      </c>
      <c r="G749" s="6" t="s">
        <v>62</v>
      </c>
      <c r="H749" s="6" t="s">
        <v>39</v>
      </c>
      <c r="I749" s="8" t="s">
        <v>40</v>
      </c>
      <c r="J749" s="9">
        <v>1</v>
      </c>
      <c r="K749" s="9">
        <v>208</v>
      </c>
      <c r="L749" s="9">
        <v>2024</v>
      </c>
      <c r="M749" s="8" t="s">
        <v>4435</v>
      </c>
      <c r="N749" s="8" t="s">
        <v>42</v>
      </c>
      <c r="O749" s="8" t="s">
        <v>89</v>
      </c>
      <c r="P749" s="6" t="s">
        <v>44</v>
      </c>
      <c r="Q749" s="8" t="s">
        <v>45</v>
      </c>
      <c r="R749" s="10" t="s">
        <v>4436</v>
      </c>
      <c r="S749" s="11"/>
      <c r="T749" s="6"/>
      <c r="U749" s="24" t="str">
        <f>HYPERLINK("https://media.infra-m.ru/2059/2059569/cover/2059569.jpg", "Обложка")</f>
        <v>Обложка</v>
      </c>
      <c r="V749" s="24" t="str">
        <f>HYPERLINK("https://znanium.ru/catalog/product/2059569", "Ознакомиться")</f>
        <v>Ознакомиться</v>
      </c>
      <c r="W749" s="8" t="s">
        <v>3143</v>
      </c>
      <c r="X749" s="6"/>
      <c r="Y749" s="6"/>
      <c r="Z749" s="6"/>
      <c r="AA749" s="6" t="s">
        <v>138</v>
      </c>
      <c r="AB749" s="8"/>
    </row>
    <row r="750" spans="1:28" s="4" customFormat="1" ht="51.95" customHeight="1">
      <c r="A750" s="5">
        <v>0</v>
      </c>
      <c r="B750" s="6" t="s">
        <v>4437</v>
      </c>
      <c r="C750" s="7">
        <v>1584</v>
      </c>
      <c r="D750" s="8" t="s">
        <v>4438</v>
      </c>
      <c r="E750" s="8" t="s">
        <v>4439</v>
      </c>
      <c r="F750" s="8" t="s">
        <v>4440</v>
      </c>
      <c r="G750" s="6" t="s">
        <v>96</v>
      </c>
      <c r="H750" s="6" t="s">
        <v>39</v>
      </c>
      <c r="I750" s="8" t="s">
        <v>40</v>
      </c>
      <c r="J750" s="9">
        <v>1</v>
      </c>
      <c r="K750" s="9">
        <v>351</v>
      </c>
      <c r="L750" s="9">
        <v>2022</v>
      </c>
      <c r="M750" s="8" t="s">
        <v>4441</v>
      </c>
      <c r="N750" s="8" t="s">
        <v>42</v>
      </c>
      <c r="O750" s="8" t="s">
        <v>72</v>
      </c>
      <c r="P750" s="6" t="s">
        <v>44</v>
      </c>
      <c r="Q750" s="8" t="s">
        <v>45</v>
      </c>
      <c r="R750" s="10" t="s">
        <v>4442</v>
      </c>
      <c r="S750" s="11"/>
      <c r="T750" s="6"/>
      <c r="U750" s="24" t="str">
        <f>HYPERLINK("https://media.infra-m.ru/1740/1740254/cover/1740254.jpg", "Обложка")</f>
        <v>Обложка</v>
      </c>
      <c r="V750" s="24" t="str">
        <f>HYPERLINK("https://znanium.ru/catalog/product/1740254", "Ознакомиться")</f>
        <v>Ознакомиться</v>
      </c>
      <c r="W750" s="8" t="s">
        <v>3902</v>
      </c>
      <c r="X750" s="6"/>
      <c r="Y750" s="6"/>
      <c r="Z750" s="6"/>
      <c r="AA750" s="6" t="s">
        <v>83</v>
      </c>
      <c r="AB750" s="8"/>
    </row>
    <row r="751" spans="1:28" s="4" customFormat="1" ht="51.95" customHeight="1">
      <c r="A751" s="5">
        <v>0</v>
      </c>
      <c r="B751" s="6" t="s">
        <v>4443</v>
      </c>
      <c r="C751" s="13">
        <v>804</v>
      </c>
      <c r="D751" s="8" t="s">
        <v>4444</v>
      </c>
      <c r="E751" s="8" t="s">
        <v>4445</v>
      </c>
      <c r="F751" s="8" t="s">
        <v>291</v>
      </c>
      <c r="G751" s="6" t="s">
        <v>38</v>
      </c>
      <c r="H751" s="6" t="s">
        <v>39</v>
      </c>
      <c r="I751" s="8" t="s">
        <v>40</v>
      </c>
      <c r="J751" s="9">
        <v>1</v>
      </c>
      <c r="K751" s="9">
        <v>142</v>
      </c>
      <c r="L751" s="9">
        <v>2024</v>
      </c>
      <c r="M751" s="8" t="s">
        <v>4446</v>
      </c>
      <c r="N751" s="8" t="s">
        <v>42</v>
      </c>
      <c r="O751" s="8" t="s">
        <v>72</v>
      </c>
      <c r="P751" s="6" t="s">
        <v>44</v>
      </c>
      <c r="Q751" s="8" t="s">
        <v>45</v>
      </c>
      <c r="R751" s="10" t="s">
        <v>4447</v>
      </c>
      <c r="S751" s="11"/>
      <c r="T751" s="6"/>
      <c r="U751" s="24" t="str">
        <f>HYPERLINK("https://media.infra-m.ru/2136/2136034/cover/2136034.jpg", "Обложка")</f>
        <v>Обложка</v>
      </c>
      <c r="V751" s="24" t="str">
        <f>HYPERLINK("https://znanium.ru/catalog/product/2136034", "Ознакомиться")</f>
        <v>Ознакомиться</v>
      </c>
      <c r="W751" s="8" t="s">
        <v>293</v>
      </c>
      <c r="X751" s="6"/>
      <c r="Y751" s="6"/>
      <c r="Z751" s="6"/>
      <c r="AA751" s="6" t="s">
        <v>57</v>
      </c>
      <c r="AB751" s="8"/>
    </row>
    <row r="752" spans="1:28" s="4" customFormat="1" ht="51.95" customHeight="1">
      <c r="A752" s="5">
        <v>0</v>
      </c>
      <c r="B752" s="6" t="s">
        <v>4448</v>
      </c>
      <c r="C752" s="13">
        <v>820.8</v>
      </c>
      <c r="D752" s="8" t="s">
        <v>4449</v>
      </c>
      <c r="E752" s="8" t="s">
        <v>4450</v>
      </c>
      <c r="F752" s="8" t="s">
        <v>4451</v>
      </c>
      <c r="G752" s="6" t="s">
        <v>38</v>
      </c>
      <c r="H752" s="6" t="s">
        <v>39</v>
      </c>
      <c r="I752" s="8" t="s">
        <v>40</v>
      </c>
      <c r="J752" s="9">
        <v>1</v>
      </c>
      <c r="K752" s="9">
        <v>137</v>
      </c>
      <c r="L752" s="9">
        <v>2025</v>
      </c>
      <c r="M752" s="8" t="s">
        <v>4452</v>
      </c>
      <c r="N752" s="8" t="s">
        <v>144</v>
      </c>
      <c r="O752" s="8" t="s">
        <v>145</v>
      </c>
      <c r="P752" s="6" t="s">
        <v>44</v>
      </c>
      <c r="Q752" s="8" t="s">
        <v>45</v>
      </c>
      <c r="R752" s="10" t="s">
        <v>4453</v>
      </c>
      <c r="S752" s="11"/>
      <c r="T752" s="6"/>
      <c r="U752" s="24" t="str">
        <f>HYPERLINK("https://media.infra-m.ru/2178/2178250/cover/2178250.jpg", "Обложка")</f>
        <v>Обложка</v>
      </c>
      <c r="V752" s="24" t="str">
        <f>HYPERLINK("https://znanium.ru/catalog/product/1064499", "Ознакомиться")</f>
        <v>Ознакомиться</v>
      </c>
      <c r="W752" s="8" t="s">
        <v>2005</v>
      </c>
      <c r="X752" s="6"/>
      <c r="Y752" s="6"/>
      <c r="Z752" s="6"/>
      <c r="AA752" s="6" t="s">
        <v>57</v>
      </c>
      <c r="AB752" s="8"/>
    </row>
    <row r="753" spans="1:28" s="4" customFormat="1" ht="42" customHeight="1">
      <c r="A753" s="5">
        <v>0</v>
      </c>
      <c r="B753" s="6" t="s">
        <v>4454</v>
      </c>
      <c r="C753" s="13">
        <v>996</v>
      </c>
      <c r="D753" s="8" t="s">
        <v>4455</v>
      </c>
      <c r="E753" s="8" t="s">
        <v>4456</v>
      </c>
      <c r="F753" s="8" t="s">
        <v>125</v>
      </c>
      <c r="G753" s="6" t="s">
        <v>38</v>
      </c>
      <c r="H753" s="6" t="s">
        <v>39</v>
      </c>
      <c r="I753" s="8" t="s">
        <v>40</v>
      </c>
      <c r="J753" s="9">
        <v>1</v>
      </c>
      <c r="K753" s="9">
        <v>218</v>
      </c>
      <c r="L753" s="9">
        <v>2021</v>
      </c>
      <c r="M753" s="8" t="s">
        <v>4457</v>
      </c>
      <c r="N753" s="8" t="s">
        <v>42</v>
      </c>
      <c r="O753" s="8" t="s">
        <v>43</v>
      </c>
      <c r="P753" s="6" t="s">
        <v>44</v>
      </c>
      <c r="Q753" s="8" t="s">
        <v>45</v>
      </c>
      <c r="R753" s="10" t="s">
        <v>1699</v>
      </c>
      <c r="S753" s="11"/>
      <c r="T753" s="6"/>
      <c r="U753" s="24" t="str">
        <f>HYPERLINK("https://media.infra-m.ru/1064/1064939/cover/1064939.jpg", "Обложка")</f>
        <v>Обложка</v>
      </c>
      <c r="V753" s="24" t="str">
        <f>HYPERLINK("https://znanium.ru/catalog/product/1064939", "Ознакомиться")</f>
        <v>Ознакомиться</v>
      </c>
      <c r="W753" s="8" t="s">
        <v>128</v>
      </c>
      <c r="X753" s="6"/>
      <c r="Y753" s="6"/>
      <c r="Z753" s="6"/>
      <c r="AA753" s="6" t="s">
        <v>129</v>
      </c>
      <c r="AB753" s="8"/>
    </row>
    <row r="754" spans="1:28" s="4" customFormat="1" ht="51.95" customHeight="1">
      <c r="A754" s="5">
        <v>0</v>
      </c>
      <c r="B754" s="6" t="s">
        <v>4458</v>
      </c>
      <c r="C754" s="7">
        <v>1013.9</v>
      </c>
      <c r="D754" s="8" t="s">
        <v>4459</v>
      </c>
      <c r="E754" s="8" t="s">
        <v>4460</v>
      </c>
      <c r="F754" s="8" t="s">
        <v>4461</v>
      </c>
      <c r="G754" s="6" t="s">
        <v>38</v>
      </c>
      <c r="H754" s="6" t="s">
        <v>39</v>
      </c>
      <c r="I754" s="8" t="s">
        <v>40</v>
      </c>
      <c r="J754" s="9">
        <v>1</v>
      </c>
      <c r="K754" s="9">
        <v>182</v>
      </c>
      <c r="L754" s="9">
        <v>2024</v>
      </c>
      <c r="M754" s="8" t="s">
        <v>4462</v>
      </c>
      <c r="N754" s="8" t="s">
        <v>42</v>
      </c>
      <c r="O754" s="8" t="s">
        <v>104</v>
      </c>
      <c r="P754" s="6" t="s">
        <v>44</v>
      </c>
      <c r="Q754" s="8" t="s">
        <v>45</v>
      </c>
      <c r="R754" s="10" t="s">
        <v>4463</v>
      </c>
      <c r="S754" s="11"/>
      <c r="T754" s="6"/>
      <c r="U754" s="24" t="str">
        <f>HYPERLINK("https://media.infra-m.ru/2117/2117566/cover/2117566.jpg", "Обложка")</f>
        <v>Обложка</v>
      </c>
      <c r="V754" s="24" t="str">
        <f>HYPERLINK("https://znanium.ru/catalog/product/2117073", "Ознакомиться")</f>
        <v>Ознакомиться</v>
      </c>
      <c r="W754" s="8" t="s">
        <v>4464</v>
      </c>
      <c r="X754" s="6"/>
      <c r="Y754" s="6"/>
      <c r="Z754" s="6"/>
      <c r="AA754" s="6" t="s">
        <v>91</v>
      </c>
      <c r="AB754" s="8"/>
    </row>
    <row r="755" spans="1:28" s="4" customFormat="1" ht="42" customHeight="1">
      <c r="A755" s="5">
        <v>0</v>
      </c>
      <c r="B755" s="6" t="s">
        <v>4465</v>
      </c>
      <c r="C755" s="7">
        <v>3304.8</v>
      </c>
      <c r="D755" s="8" t="s">
        <v>4466</v>
      </c>
      <c r="E755" s="8" t="s">
        <v>4467</v>
      </c>
      <c r="F755" s="8" t="s">
        <v>4468</v>
      </c>
      <c r="G755" s="6" t="s">
        <v>62</v>
      </c>
      <c r="H755" s="6" t="s">
        <v>39</v>
      </c>
      <c r="I755" s="8"/>
      <c r="J755" s="9">
        <v>1</v>
      </c>
      <c r="K755" s="9">
        <v>480</v>
      </c>
      <c r="L755" s="9">
        <v>2024</v>
      </c>
      <c r="M755" s="8" t="s">
        <v>4469</v>
      </c>
      <c r="N755" s="8" t="s">
        <v>119</v>
      </c>
      <c r="O755" s="8" t="s">
        <v>432</v>
      </c>
      <c r="P755" s="6" t="s">
        <v>179</v>
      </c>
      <c r="Q755" s="8" t="s">
        <v>200</v>
      </c>
      <c r="R755" s="10" t="s">
        <v>4470</v>
      </c>
      <c r="S755" s="11"/>
      <c r="T755" s="6"/>
      <c r="U755" s="24" t="str">
        <f>HYPERLINK("https://media.infra-m.ru/2054/2054989/cover/2054989.jpg", "Обложка")</f>
        <v>Обложка</v>
      </c>
      <c r="V755" s="24" t="str">
        <f>HYPERLINK("https://znanium.ru/catalog/product/1910620", "Ознакомиться")</f>
        <v>Ознакомиться</v>
      </c>
      <c r="W755" s="8" t="s">
        <v>1874</v>
      </c>
      <c r="X755" s="6"/>
      <c r="Y755" s="6"/>
      <c r="Z755" s="6"/>
      <c r="AA755" s="6" t="s">
        <v>1087</v>
      </c>
      <c r="AB755" s="8"/>
    </row>
    <row r="756" spans="1:28" s="4" customFormat="1" ht="44.1" customHeight="1">
      <c r="A756" s="5">
        <v>0</v>
      </c>
      <c r="B756" s="6" t="s">
        <v>4471</v>
      </c>
      <c r="C756" s="7">
        <v>3024</v>
      </c>
      <c r="D756" s="8" t="s">
        <v>4472</v>
      </c>
      <c r="E756" s="8" t="s">
        <v>4473</v>
      </c>
      <c r="F756" s="8" t="s">
        <v>4474</v>
      </c>
      <c r="G756" s="6" t="s">
        <v>96</v>
      </c>
      <c r="H756" s="6" t="s">
        <v>39</v>
      </c>
      <c r="I756" s="8" t="s">
        <v>1126</v>
      </c>
      <c r="J756" s="9">
        <v>1</v>
      </c>
      <c r="K756" s="9">
        <v>485</v>
      </c>
      <c r="L756" s="9">
        <v>2025</v>
      </c>
      <c r="M756" s="8" t="s">
        <v>4475</v>
      </c>
      <c r="N756" s="8" t="s">
        <v>144</v>
      </c>
      <c r="O756" s="8" t="s">
        <v>145</v>
      </c>
      <c r="P756" s="6" t="s">
        <v>44</v>
      </c>
      <c r="Q756" s="8" t="s">
        <v>45</v>
      </c>
      <c r="R756" s="10" t="s">
        <v>4476</v>
      </c>
      <c r="S756" s="11"/>
      <c r="T756" s="6"/>
      <c r="U756" s="24" t="str">
        <f>HYPERLINK("https://media.infra-m.ru/2196/2196499/cover/2196499.jpg", "Обложка")</f>
        <v>Обложка</v>
      </c>
      <c r="V756" s="24" t="str">
        <f>HYPERLINK("https://znanium.ru/catalog/product/2196499", "Ознакомиться")</f>
        <v>Ознакомиться</v>
      </c>
      <c r="W756" s="8" t="s">
        <v>1128</v>
      </c>
      <c r="X756" s="6"/>
      <c r="Y756" s="6"/>
      <c r="Z756" s="6"/>
      <c r="AA756" s="6" t="s">
        <v>91</v>
      </c>
      <c r="AB756" s="8" t="s">
        <v>2291</v>
      </c>
    </row>
    <row r="757" spans="1:28" s="4" customFormat="1" ht="51.95" customHeight="1">
      <c r="A757" s="5">
        <v>0</v>
      </c>
      <c r="B757" s="6" t="s">
        <v>4477</v>
      </c>
      <c r="C757" s="7">
        <v>2008.8</v>
      </c>
      <c r="D757" s="8" t="s">
        <v>4478</v>
      </c>
      <c r="E757" s="8" t="s">
        <v>4479</v>
      </c>
      <c r="F757" s="8" t="s">
        <v>4480</v>
      </c>
      <c r="G757" s="6" t="s">
        <v>62</v>
      </c>
      <c r="H757" s="6" t="s">
        <v>39</v>
      </c>
      <c r="I757" s="8" t="s">
        <v>340</v>
      </c>
      <c r="J757" s="9">
        <v>1</v>
      </c>
      <c r="K757" s="9">
        <v>323</v>
      </c>
      <c r="L757" s="9">
        <v>2026</v>
      </c>
      <c r="M757" s="8" t="s">
        <v>4481</v>
      </c>
      <c r="N757" s="8" t="s">
        <v>119</v>
      </c>
      <c r="O757" s="8" t="s">
        <v>120</v>
      </c>
      <c r="P757" s="6" t="s">
        <v>271</v>
      </c>
      <c r="Q757" s="8" t="s">
        <v>45</v>
      </c>
      <c r="R757" s="10" t="s">
        <v>1383</v>
      </c>
      <c r="S757" s="11"/>
      <c r="T757" s="6"/>
      <c r="U757" s="24" t="str">
        <f>HYPERLINK("https://media.infra-m.ru/2215/2215642/cover/2215642.jpg", "Обложка")</f>
        <v>Обложка</v>
      </c>
      <c r="V757" s="24" t="str">
        <f>HYPERLINK("https://znanium.ru/catalog/product/1874261", "Ознакомиться")</f>
        <v>Ознакомиться</v>
      </c>
      <c r="W757" s="8" t="s">
        <v>4482</v>
      </c>
      <c r="X757" s="6"/>
      <c r="Y757" s="6"/>
      <c r="Z757" s="6"/>
      <c r="AA757" s="6" t="s">
        <v>91</v>
      </c>
      <c r="AB757" s="8"/>
    </row>
    <row r="758" spans="1:28" s="4" customFormat="1" ht="44.1" customHeight="1">
      <c r="A758" s="5">
        <v>0</v>
      </c>
      <c r="B758" s="6" t="s">
        <v>4483</v>
      </c>
      <c r="C758" s="7">
        <v>1320</v>
      </c>
      <c r="D758" s="8" t="s">
        <v>4484</v>
      </c>
      <c r="E758" s="8" t="s">
        <v>4485</v>
      </c>
      <c r="F758" s="8" t="s">
        <v>4486</v>
      </c>
      <c r="G758" s="6" t="s">
        <v>62</v>
      </c>
      <c r="H758" s="6" t="s">
        <v>39</v>
      </c>
      <c r="I758" s="8" t="s">
        <v>152</v>
      </c>
      <c r="J758" s="9">
        <v>1</v>
      </c>
      <c r="K758" s="9">
        <v>200</v>
      </c>
      <c r="L758" s="9">
        <v>2025</v>
      </c>
      <c r="M758" s="8" t="s">
        <v>4487</v>
      </c>
      <c r="N758" s="8" t="s">
        <v>177</v>
      </c>
      <c r="O758" s="8" t="s">
        <v>190</v>
      </c>
      <c r="P758" s="6" t="s">
        <v>459</v>
      </c>
      <c r="Q758" s="8" t="s">
        <v>180</v>
      </c>
      <c r="R758" s="10" t="s">
        <v>4488</v>
      </c>
      <c r="S758" s="11"/>
      <c r="T758" s="6"/>
      <c r="U758" s="24" t="str">
        <f>HYPERLINK("https://media.infra-m.ru/2224/2224334/cover/2224334.jpg", "Обложка")</f>
        <v>Обложка</v>
      </c>
      <c r="V758" s="24" t="str">
        <f>HYPERLINK("https://znanium.ru/catalog/product/2224334", "Ознакомиться")</f>
        <v>Ознакомиться</v>
      </c>
      <c r="W758" s="8" t="s">
        <v>4489</v>
      </c>
      <c r="X758" s="6"/>
      <c r="Y758" s="6"/>
      <c r="Z758" s="6"/>
      <c r="AA758" s="6" t="s">
        <v>129</v>
      </c>
      <c r="AB758" s="8"/>
    </row>
    <row r="759" spans="1:28" s="4" customFormat="1" ht="42" customHeight="1">
      <c r="A759" s="5">
        <v>0</v>
      </c>
      <c r="B759" s="6" t="s">
        <v>4490</v>
      </c>
      <c r="C759" s="7">
        <v>1888.8</v>
      </c>
      <c r="D759" s="8" t="s">
        <v>4491</v>
      </c>
      <c r="E759" s="8" t="s">
        <v>4492</v>
      </c>
      <c r="F759" s="8" t="s">
        <v>4493</v>
      </c>
      <c r="G759" s="6" t="s">
        <v>96</v>
      </c>
      <c r="H759" s="6" t="s">
        <v>39</v>
      </c>
      <c r="I759" s="8" t="s">
        <v>40</v>
      </c>
      <c r="J759" s="9">
        <v>1</v>
      </c>
      <c r="K759" s="9">
        <v>348</v>
      </c>
      <c r="L759" s="9">
        <v>2023</v>
      </c>
      <c r="M759" s="8" t="s">
        <v>4494</v>
      </c>
      <c r="N759" s="8" t="s">
        <v>42</v>
      </c>
      <c r="O759" s="8" t="s">
        <v>72</v>
      </c>
      <c r="P759" s="6" t="s">
        <v>44</v>
      </c>
      <c r="Q759" s="8" t="s">
        <v>45</v>
      </c>
      <c r="R759" s="10" t="s">
        <v>127</v>
      </c>
      <c r="S759" s="11"/>
      <c r="T759" s="6"/>
      <c r="U759" s="24" t="str">
        <f>HYPERLINK("https://media.infra-m.ru/2030/2030880/cover/2030880.jpg", "Обложка")</f>
        <v>Обложка</v>
      </c>
      <c r="V759" s="24" t="str">
        <f>HYPERLINK("https://znanium.ru/catalog/product/995428", "Ознакомиться")</f>
        <v>Ознакомиться</v>
      </c>
      <c r="W759" s="8" t="s">
        <v>4495</v>
      </c>
      <c r="X759" s="6"/>
      <c r="Y759" s="6"/>
      <c r="Z759" s="6"/>
      <c r="AA759" s="6" t="s">
        <v>412</v>
      </c>
      <c r="AB759" s="8"/>
    </row>
    <row r="760" spans="1:28" s="4" customFormat="1" ht="51.95" customHeight="1">
      <c r="A760" s="5">
        <v>0</v>
      </c>
      <c r="B760" s="6" t="s">
        <v>4496</v>
      </c>
      <c r="C760" s="7">
        <v>1156.8</v>
      </c>
      <c r="D760" s="8" t="s">
        <v>4497</v>
      </c>
      <c r="E760" s="8" t="s">
        <v>4498</v>
      </c>
      <c r="F760" s="8" t="s">
        <v>4499</v>
      </c>
      <c r="G760" s="6" t="s">
        <v>38</v>
      </c>
      <c r="H760" s="6" t="s">
        <v>39</v>
      </c>
      <c r="I760" s="8" t="s">
        <v>40</v>
      </c>
      <c r="J760" s="9">
        <v>1</v>
      </c>
      <c r="K760" s="9">
        <v>186</v>
      </c>
      <c r="L760" s="9">
        <v>2025</v>
      </c>
      <c r="M760" s="8" t="s">
        <v>4500</v>
      </c>
      <c r="N760" s="8" t="s">
        <v>144</v>
      </c>
      <c r="O760" s="8" t="s">
        <v>145</v>
      </c>
      <c r="P760" s="6" t="s">
        <v>44</v>
      </c>
      <c r="Q760" s="8" t="s">
        <v>45</v>
      </c>
      <c r="R760" s="10" t="s">
        <v>4501</v>
      </c>
      <c r="S760" s="11"/>
      <c r="T760" s="6"/>
      <c r="U760" s="24" t="str">
        <f>HYPERLINK("https://media.infra-m.ru/2211/2211198/cover/2211198.jpg", "Обложка")</f>
        <v>Обложка</v>
      </c>
      <c r="V760" s="24" t="str">
        <f>HYPERLINK("https://znanium.ru/catalog/product/2204131", "Ознакомиться")</f>
        <v>Ознакомиться</v>
      </c>
      <c r="W760" s="8" t="s">
        <v>256</v>
      </c>
      <c r="X760" s="6"/>
      <c r="Y760" s="6"/>
      <c r="Z760" s="6"/>
      <c r="AA760" s="6" t="s">
        <v>138</v>
      </c>
      <c r="AB760" s="8"/>
    </row>
    <row r="761" spans="1:28" s="4" customFormat="1" ht="44.1" customHeight="1">
      <c r="A761" s="5">
        <v>0</v>
      </c>
      <c r="B761" s="6" t="s">
        <v>4502</v>
      </c>
      <c r="C761" s="7">
        <v>1360.8</v>
      </c>
      <c r="D761" s="8" t="s">
        <v>4503</v>
      </c>
      <c r="E761" s="8" t="s">
        <v>4504</v>
      </c>
      <c r="F761" s="8" t="s">
        <v>297</v>
      </c>
      <c r="G761" s="6" t="s">
        <v>62</v>
      </c>
      <c r="H761" s="6" t="s">
        <v>39</v>
      </c>
      <c r="I761" s="8" t="s">
        <v>40</v>
      </c>
      <c r="J761" s="9">
        <v>1</v>
      </c>
      <c r="K761" s="9">
        <v>206</v>
      </c>
      <c r="L761" s="9">
        <v>2026</v>
      </c>
      <c r="M761" s="8" t="s">
        <v>4505</v>
      </c>
      <c r="N761" s="8" t="s">
        <v>42</v>
      </c>
      <c r="O761" s="8" t="s">
        <v>43</v>
      </c>
      <c r="P761" s="6" t="s">
        <v>44</v>
      </c>
      <c r="Q761" s="8" t="s">
        <v>45</v>
      </c>
      <c r="R761" s="10" t="s">
        <v>4506</v>
      </c>
      <c r="S761" s="11"/>
      <c r="T761" s="6"/>
      <c r="U761" s="24" t="str">
        <f>HYPERLINK("https://media.infra-m.ru/2216/2216601/cover/2216601.jpg", "Обложка")</f>
        <v>Обложка</v>
      </c>
      <c r="V761" s="24" t="str">
        <f>HYPERLINK("https://znanium.ru/catalog/product/2132547", "Ознакомиться")</f>
        <v>Ознакомиться</v>
      </c>
      <c r="W761" s="8" t="s">
        <v>241</v>
      </c>
      <c r="X761" s="6"/>
      <c r="Y761" s="6"/>
      <c r="Z761" s="6"/>
      <c r="AA761" s="6" t="s">
        <v>213</v>
      </c>
      <c r="AB761" s="8"/>
    </row>
    <row r="762" spans="1:28" s="4" customFormat="1" ht="44.1" customHeight="1">
      <c r="A762" s="5">
        <v>0</v>
      </c>
      <c r="B762" s="6" t="s">
        <v>4507</v>
      </c>
      <c r="C762" s="7">
        <v>1524</v>
      </c>
      <c r="D762" s="8" t="s">
        <v>4508</v>
      </c>
      <c r="E762" s="8" t="s">
        <v>4509</v>
      </c>
      <c r="F762" s="8" t="s">
        <v>4510</v>
      </c>
      <c r="G762" s="6" t="s">
        <v>38</v>
      </c>
      <c r="H762" s="6" t="s">
        <v>39</v>
      </c>
      <c r="I762" s="8" t="s">
        <v>40</v>
      </c>
      <c r="J762" s="9">
        <v>1</v>
      </c>
      <c r="K762" s="9">
        <v>243</v>
      </c>
      <c r="L762" s="9">
        <v>2025</v>
      </c>
      <c r="M762" s="8" t="s">
        <v>4511</v>
      </c>
      <c r="N762" s="8" t="s">
        <v>42</v>
      </c>
      <c r="O762" s="8" t="s">
        <v>72</v>
      </c>
      <c r="P762" s="6" t="s">
        <v>44</v>
      </c>
      <c r="Q762" s="8" t="s">
        <v>45</v>
      </c>
      <c r="R762" s="10" t="s">
        <v>3514</v>
      </c>
      <c r="S762" s="11"/>
      <c r="T762" s="6"/>
      <c r="U762" s="24" t="str">
        <f>HYPERLINK("https://media.infra-m.ru/2194/2194906/cover/2194906.jpg", "Обложка")</f>
        <v>Обложка</v>
      </c>
      <c r="V762" s="24" t="str">
        <f>HYPERLINK("https://znanium.ru/catalog/product/1859918", "Ознакомиться")</f>
        <v>Ознакомиться</v>
      </c>
      <c r="W762" s="8" t="s">
        <v>358</v>
      </c>
      <c r="X762" s="6"/>
      <c r="Y762" s="6"/>
      <c r="Z762" s="6"/>
      <c r="AA762" s="6" t="s">
        <v>391</v>
      </c>
      <c r="AB762" s="8"/>
    </row>
    <row r="763" spans="1:28" s="4" customFormat="1" ht="42" customHeight="1">
      <c r="A763" s="5">
        <v>0</v>
      </c>
      <c r="B763" s="6" t="s">
        <v>4512</v>
      </c>
      <c r="C763" s="7">
        <v>1996.8</v>
      </c>
      <c r="D763" s="8" t="s">
        <v>4513</v>
      </c>
      <c r="E763" s="8" t="s">
        <v>4514</v>
      </c>
      <c r="F763" s="8" t="s">
        <v>4515</v>
      </c>
      <c r="G763" s="6" t="s">
        <v>62</v>
      </c>
      <c r="H763" s="6" t="s">
        <v>39</v>
      </c>
      <c r="I763" s="8" t="s">
        <v>40</v>
      </c>
      <c r="J763" s="9">
        <v>1</v>
      </c>
      <c r="K763" s="9">
        <v>355</v>
      </c>
      <c r="L763" s="9">
        <v>2024</v>
      </c>
      <c r="M763" s="8" t="s">
        <v>4516</v>
      </c>
      <c r="N763" s="8" t="s">
        <v>42</v>
      </c>
      <c r="O763" s="8" t="s">
        <v>43</v>
      </c>
      <c r="P763" s="6" t="s">
        <v>44</v>
      </c>
      <c r="Q763" s="8" t="s">
        <v>45</v>
      </c>
      <c r="R763" s="10" t="s">
        <v>1075</v>
      </c>
      <c r="S763" s="11"/>
      <c r="T763" s="6"/>
      <c r="U763" s="24" t="str">
        <f>HYPERLINK("https://media.infra-m.ru/2138/2138262/cover/2138262.jpg", "Обложка")</f>
        <v>Обложка</v>
      </c>
      <c r="V763" s="24" t="str">
        <f>HYPERLINK("https://znanium.ru/catalog/product/2231760", "Ознакомиться")</f>
        <v>Ознакомиться</v>
      </c>
      <c r="W763" s="8" t="s">
        <v>4517</v>
      </c>
      <c r="X763" s="6"/>
      <c r="Y763" s="6"/>
      <c r="Z763" s="6"/>
      <c r="AA763" s="6" t="s">
        <v>138</v>
      </c>
      <c r="AB763" s="8"/>
    </row>
    <row r="764" spans="1:28" s="4" customFormat="1" ht="51.95" customHeight="1">
      <c r="A764" s="5">
        <v>0</v>
      </c>
      <c r="B764" s="6" t="s">
        <v>4518</v>
      </c>
      <c r="C764" s="13">
        <v>508.8</v>
      </c>
      <c r="D764" s="8" t="s">
        <v>4519</v>
      </c>
      <c r="E764" s="8" t="s">
        <v>4520</v>
      </c>
      <c r="F764" s="8" t="s">
        <v>4521</v>
      </c>
      <c r="G764" s="6" t="s">
        <v>38</v>
      </c>
      <c r="H764" s="6" t="s">
        <v>39</v>
      </c>
      <c r="I764" s="8" t="s">
        <v>40</v>
      </c>
      <c r="J764" s="9">
        <v>1</v>
      </c>
      <c r="K764" s="9">
        <v>87</v>
      </c>
      <c r="L764" s="9">
        <v>2024</v>
      </c>
      <c r="M764" s="8" t="s">
        <v>4522</v>
      </c>
      <c r="N764" s="8" t="s">
        <v>144</v>
      </c>
      <c r="O764" s="8" t="s">
        <v>145</v>
      </c>
      <c r="P764" s="6" t="s">
        <v>44</v>
      </c>
      <c r="Q764" s="8" t="s">
        <v>45</v>
      </c>
      <c r="R764" s="10" t="s">
        <v>4523</v>
      </c>
      <c r="S764" s="11"/>
      <c r="T764" s="6"/>
      <c r="U764" s="24" t="str">
        <f>HYPERLINK("https://media.infra-m.ru/2094/2094499/cover/2094499.jpg", "Обложка")</f>
        <v>Обложка</v>
      </c>
      <c r="V764" s="24" t="str">
        <f>HYPERLINK("https://znanium.ru/catalog/product/1947371", "Ознакомиться")</f>
        <v>Ознакомиться</v>
      </c>
      <c r="W764" s="8" t="s">
        <v>113</v>
      </c>
      <c r="X764" s="6"/>
      <c r="Y764" s="6"/>
      <c r="Z764" s="6"/>
      <c r="AA764" s="6" t="s">
        <v>264</v>
      </c>
      <c r="AB764" s="8"/>
    </row>
    <row r="765" spans="1:28" s="4" customFormat="1" ht="51.95" customHeight="1">
      <c r="A765" s="5">
        <v>0</v>
      </c>
      <c r="B765" s="6" t="s">
        <v>4524</v>
      </c>
      <c r="C765" s="7">
        <v>1176</v>
      </c>
      <c r="D765" s="8" t="s">
        <v>4525</v>
      </c>
      <c r="E765" s="8" t="s">
        <v>4526</v>
      </c>
      <c r="F765" s="8" t="s">
        <v>4527</v>
      </c>
      <c r="G765" s="6" t="s">
        <v>62</v>
      </c>
      <c r="H765" s="6" t="s">
        <v>39</v>
      </c>
      <c r="I765" s="8" t="s">
        <v>40</v>
      </c>
      <c r="J765" s="9">
        <v>1</v>
      </c>
      <c r="K765" s="9">
        <v>252</v>
      </c>
      <c r="L765" s="9">
        <v>2022</v>
      </c>
      <c r="M765" s="8" t="s">
        <v>4528</v>
      </c>
      <c r="N765" s="8" t="s">
        <v>42</v>
      </c>
      <c r="O765" s="8" t="s">
        <v>43</v>
      </c>
      <c r="P765" s="6" t="s">
        <v>44</v>
      </c>
      <c r="Q765" s="8" t="s">
        <v>45</v>
      </c>
      <c r="R765" s="10" t="s">
        <v>279</v>
      </c>
      <c r="S765" s="11"/>
      <c r="T765" s="6"/>
      <c r="U765" s="24" t="str">
        <f>HYPERLINK("https://media.infra-m.ru/1858/1858256/cover/1858256.jpg", "Обложка")</f>
        <v>Обложка</v>
      </c>
      <c r="V765" s="24" t="str">
        <f>HYPERLINK("https://znanium.ru/catalog/product/1858256", "Ознакомиться")</f>
        <v>Ознакомиться</v>
      </c>
      <c r="W765" s="8" t="s">
        <v>113</v>
      </c>
      <c r="X765" s="6"/>
      <c r="Y765" s="6"/>
      <c r="Z765" s="6"/>
      <c r="AA765" s="6" t="s">
        <v>3401</v>
      </c>
      <c r="AB765" s="8"/>
    </row>
    <row r="766" spans="1:28" s="4" customFormat="1" ht="42" customHeight="1">
      <c r="A766" s="5">
        <v>0</v>
      </c>
      <c r="B766" s="6" t="s">
        <v>4529</v>
      </c>
      <c r="C766" s="7">
        <v>2668.8</v>
      </c>
      <c r="D766" s="8" t="s">
        <v>4530</v>
      </c>
      <c r="E766" s="8" t="s">
        <v>4531</v>
      </c>
      <c r="F766" s="8" t="s">
        <v>4532</v>
      </c>
      <c r="G766" s="6" t="s">
        <v>96</v>
      </c>
      <c r="H766" s="6" t="s">
        <v>39</v>
      </c>
      <c r="I766" s="8" t="s">
        <v>40</v>
      </c>
      <c r="J766" s="9">
        <v>1</v>
      </c>
      <c r="K766" s="9">
        <v>426</v>
      </c>
      <c r="L766" s="9">
        <v>2026</v>
      </c>
      <c r="M766" s="8" t="s">
        <v>4533</v>
      </c>
      <c r="N766" s="8" t="s">
        <v>42</v>
      </c>
      <c r="O766" s="8" t="s">
        <v>104</v>
      </c>
      <c r="P766" s="6" t="s">
        <v>44</v>
      </c>
      <c r="Q766" s="8" t="s">
        <v>45</v>
      </c>
      <c r="R766" s="10" t="s">
        <v>4534</v>
      </c>
      <c r="S766" s="11"/>
      <c r="T766" s="6"/>
      <c r="U766" s="24" t="str">
        <f>HYPERLINK("https://media.infra-m.ru/2212/2212253/cover/2212253.jpg", "Обложка")</f>
        <v>Обложка</v>
      </c>
      <c r="V766" s="24" t="str">
        <f>HYPERLINK("https://znanium.ru/catalog/product/2212251", "Ознакомиться")</f>
        <v>Ознакомиться</v>
      </c>
      <c r="W766" s="8" t="s">
        <v>4535</v>
      </c>
      <c r="X766" s="6"/>
      <c r="Y766" s="6"/>
      <c r="Z766" s="6"/>
      <c r="AA766" s="6" t="s">
        <v>91</v>
      </c>
      <c r="AB766" s="8" t="s">
        <v>4176</v>
      </c>
    </row>
    <row r="767" spans="1:28" s="4" customFormat="1" ht="51.95" customHeight="1">
      <c r="A767" s="5">
        <v>0</v>
      </c>
      <c r="B767" s="6" t="s">
        <v>4536</v>
      </c>
      <c r="C767" s="7">
        <v>1284</v>
      </c>
      <c r="D767" s="8" t="s">
        <v>4537</v>
      </c>
      <c r="E767" s="8" t="s">
        <v>4538</v>
      </c>
      <c r="F767" s="8" t="s">
        <v>53</v>
      </c>
      <c r="G767" s="6" t="s">
        <v>38</v>
      </c>
      <c r="H767" s="6" t="s">
        <v>39</v>
      </c>
      <c r="I767" s="8" t="s">
        <v>40</v>
      </c>
      <c r="J767" s="9">
        <v>1</v>
      </c>
      <c r="K767" s="9">
        <v>231</v>
      </c>
      <c r="L767" s="9">
        <v>2024</v>
      </c>
      <c r="M767" s="8" t="s">
        <v>4539</v>
      </c>
      <c r="N767" s="8" t="s">
        <v>42</v>
      </c>
      <c r="O767" s="8" t="s">
        <v>43</v>
      </c>
      <c r="P767" s="6" t="s">
        <v>44</v>
      </c>
      <c r="Q767" s="8" t="s">
        <v>45</v>
      </c>
      <c r="R767" s="10" t="s">
        <v>4540</v>
      </c>
      <c r="S767" s="11"/>
      <c r="T767" s="6"/>
      <c r="U767" s="24" t="str">
        <f>HYPERLINK("https://media.infra-m.ru/2120/2120760/cover/2120760.jpg", "Обложка")</f>
        <v>Обложка</v>
      </c>
      <c r="V767" s="24" t="str">
        <f>HYPERLINK("https://znanium.ru/catalog/product/2120760", "Ознакомиться")</f>
        <v>Ознакомиться</v>
      </c>
      <c r="W767" s="8" t="s">
        <v>56</v>
      </c>
      <c r="X767" s="6"/>
      <c r="Y767" s="6"/>
      <c r="Z767" s="6"/>
      <c r="AA767" s="6" t="s">
        <v>83</v>
      </c>
      <c r="AB767" s="8"/>
    </row>
    <row r="768" spans="1:28" s="4" customFormat="1" ht="51.95" customHeight="1">
      <c r="A768" s="5">
        <v>0</v>
      </c>
      <c r="B768" s="6" t="s">
        <v>4541</v>
      </c>
      <c r="C768" s="13">
        <v>900</v>
      </c>
      <c r="D768" s="8" t="s">
        <v>4542</v>
      </c>
      <c r="E768" s="8" t="s">
        <v>4543</v>
      </c>
      <c r="F768" s="8" t="s">
        <v>53</v>
      </c>
      <c r="G768" s="6" t="s">
        <v>38</v>
      </c>
      <c r="H768" s="6" t="s">
        <v>39</v>
      </c>
      <c r="I768" s="8" t="s">
        <v>40</v>
      </c>
      <c r="J768" s="9">
        <v>1</v>
      </c>
      <c r="K768" s="9">
        <v>157</v>
      </c>
      <c r="L768" s="9">
        <v>2023</v>
      </c>
      <c r="M768" s="8" t="s">
        <v>4544</v>
      </c>
      <c r="N768" s="8" t="s">
        <v>42</v>
      </c>
      <c r="O768" s="8" t="s">
        <v>43</v>
      </c>
      <c r="P768" s="6" t="s">
        <v>44</v>
      </c>
      <c r="Q768" s="8" t="s">
        <v>45</v>
      </c>
      <c r="R768" s="10" t="s">
        <v>4545</v>
      </c>
      <c r="S768" s="11"/>
      <c r="T768" s="6"/>
      <c r="U768" s="24" t="str">
        <f>HYPERLINK("https://media.infra-m.ru/1911/1911055/cover/1911055.jpg", "Обложка")</f>
        <v>Обложка</v>
      </c>
      <c r="V768" s="24" t="str">
        <f>HYPERLINK("https://znanium.ru/catalog/product/1911055", "Ознакомиться")</f>
        <v>Ознакомиться</v>
      </c>
      <c r="W768" s="8" t="s">
        <v>56</v>
      </c>
      <c r="X768" s="6"/>
      <c r="Y768" s="6"/>
      <c r="Z768" s="6"/>
      <c r="AA768" s="6" t="s">
        <v>91</v>
      </c>
      <c r="AB768" s="8"/>
    </row>
    <row r="769" spans="1:28" s="4" customFormat="1" ht="42" customHeight="1">
      <c r="A769" s="5">
        <v>0</v>
      </c>
      <c r="B769" s="6" t="s">
        <v>4546</v>
      </c>
      <c r="C769" s="13">
        <v>748.8</v>
      </c>
      <c r="D769" s="8" t="s">
        <v>4547</v>
      </c>
      <c r="E769" s="8" t="s">
        <v>4548</v>
      </c>
      <c r="F769" s="8" t="s">
        <v>4549</v>
      </c>
      <c r="G769" s="6" t="s">
        <v>38</v>
      </c>
      <c r="H769" s="6" t="s">
        <v>39</v>
      </c>
      <c r="I769" s="8" t="s">
        <v>40</v>
      </c>
      <c r="J769" s="9">
        <v>1</v>
      </c>
      <c r="K769" s="9">
        <v>164</v>
      </c>
      <c r="L769" s="9">
        <v>2021</v>
      </c>
      <c r="M769" s="8" t="s">
        <v>4550</v>
      </c>
      <c r="N769" s="8" t="s">
        <v>42</v>
      </c>
      <c r="O769" s="8" t="s">
        <v>43</v>
      </c>
      <c r="P769" s="6" t="s">
        <v>44</v>
      </c>
      <c r="Q769" s="8" t="s">
        <v>45</v>
      </c>
      <c r="R769" s="10" t="s">
        <v>518</v>
      </c>
      <c r="S769" s="11"/>
      <c r="T769" s="6"/>
      <c r="U769" s="24" t="str">
        <f>HYPERLINK("https://media.infra-m.ru/2082/2082127/cover/2082127.jpg", "Обложка")</f>
        <v>Обложка</v>
      </c>
      <c r="V769" s="24" t="str">
        <f>HYPERLINK("https://znanium.ru/catalog/product/1915715", "Ознакомиться")</f>
        <v>Ознакомиться</v>
      </c>
      <c r="W769" s="8" t="s">
        <v>4551</v>
      </c>
      <c r="X769" s="6"/>
      <c r="Y769" s="6"/>
      <c r="Z769" s="6"/>
      <c r="AA769" s="6" t="s">
        <v>129</v>
      </c>
      <c r="AB769" s="8"/>
    </row>
    <row r="770" spans="1:28" s="4" customFormat="1" ht="51.95" customHeight="1">
      <c r="A770" s="5">
        <v>0</v>
      </c>
      <c r="B770" s="6" t="s">
        <v>4552</v>
      </c>
      <c r="C770" s="7">
        <v>1728</v>
      </c>
      <c r="D770" s="8" t="s">
        <v>4553</v>
      </c>
      <c r="E770" s="8" t="s">
        <v>4554</v>
      </c>
      <c r="F770" s="8" t="s">
        <v>4555</v>
      </c>
      <c r="G770" s="6" t="s">
        <v>62</v>
      </c>
      <c r="H770" s="6" t="s">
        <v>39</v>
      </c>
      <c r="I770" s="8" t="s">
        <v>40</v>
      </c>
      <c r="J770" s="9">
        <v>1</v>
      </c>
      <c r="K770" s="9">
        <v>294</v>
      </c>
      <c r="L770" s="9">
        <v>2024</v>
      </c>
      <c r="M770" s="8" t="s">
        <v>4556</v>
      </c>
      <c r="N770" s="8" t="s">
        <v>42</v>
      </c>
      <c r="O770" s="8" t="s">
        <v>43</v>
      </c>
      <c r="P770" s="6" t="s">
        <v>44</v>
      </c>
      <c r="Q770" s="8" t="s">
        <v>45</v>
      </c>
      <c r="R770" s="10" t="s">
        <v>4557</v>
      </c>
      <c r="S770" s="11"/>
      <c r="T770" s="6"/>
      <c r="U770" s="24" t="str">
        <f>HYPERLINK("https://media.infra-m.ru/2156/2156592/cover/2156592.jpg", "Обложка")</f>
        <v>Обложка</v>
      </c>
      <c r="V770" s="24" t="str">
        <f>HYPERLINK("https://znanium.ru/catalog/product/2156592", "Ознакомиться")</f>
        <v>Ознакомиться</v>
      </c>
      <c r="W770" s="8" t="s">
        <v>995</v>
      </c>
      <c r="X770" s="6"/>
      <c r="Y770" s="6"/>
      <c r="Z770" s="6"/>
      <c r="AA770" s="6" t="s">
        <v>91</v>
      </c>
      <c r="AB770" s="8"/>
    </row>
    <row r="771" spans="1:28" s="4" customFormat="1" ht="44.1" customHeight="1">
      <c r="A771" s="5">
        <v>0</v>
      </c>
      <c r="B771" s="6" t="s">
        <v>4558</v>
      </c>
      <c r="C771" s="13">
        <v>696</v>
      </c>
      <c r="D771" s="8" t="s">
        <v>4559</v>
      </c>
      <c r="E771" s="8" t="s">
        <v>4560</v>
      </c>
      <c r="F771" s="8" t="s">
        <v>4561</v>
      </c>
      <c r="G771" s="6" t="s">
        <v>38</v>
      </c>
      <c r="H771" s="6" t="s">
        <v>39</v>
      </c>
      <c r="I771" s="8" t="s">
        <v>40</v>
      </c>
      <c r="J771" s="9">
        <v>1</v>
      </c>
      <c r="K771" s="9">
        <v>124</v>
      </c>
      <c r="L771" s="9">
        <v>2023</v>
      </c>
      <c r="M771" s="8" t="s">
        <v>4562</v>
      </c>
      <c r="N771" s="8" t="s">
        <v>42</v>
      </c>
      <c r="O771" s="8" t="s">
        <v>43</v>
      </c>
      <c r="P771" s="6" t="s">
        <v>44</v>
      </c>
      <c r="Q771" s="8" t="s">
        <v>45</v>
      </c>
      <c r="R771" s="10" t="s">
        <v>3839</v>
      </c>
      <c r="S771" s="11"/>
      <c r="T771" s="6"/>
      <c r="U771" s="24" t="str">
        <f>HYPERLINK("https://media.infra-m.ru/2126/2126467/cover/2126467.jpg", "Обложка")</f>
        <v>Обложка</v>
      </c>
      <c r="V771" s="24" t="str">
        <f>HYPERLINK("https://znanium.ru/catalog/product/1914196", "Ознакомиться")</f>
        <v>Ознакомиться</v>
      </c>
      <c r="W771" s="8" t="s">
        <v>329</v>
      </c>
      <c r="X771" s="6"/>
      <c r="Y771" s="6"/>
      <c r="Z771" s="6"/>
      <c r="AA771" s="6" t="s">
        <v>183</v>
      </c>
      <c r="AB771" s="8"/>
    </row>
    <row r="772" spans="1:28" s="4" customFormat="1" ht="42" customHeight="1">
      <c r="A772" s="5">
        <v>0</v>
      </c>
      <c r="B772" s="6" t="s">
        <v>4563</v>
      </c>
      <c r="C772" s="7">
        <v>1512</v>
      </c>
      <c r="D772" s="8" t="s">
        <v>4564</v>
      </c>
      <c r="E772" s="8" t="s">
        <v>4565</v>
      </c>
      <c r="F772" s="8" t="s">
        <v>749</v>
      </c>
      <c r="G772" s="6" t="s">
        <v>96</v>
      </c>
      <c r="H772" s="6" t="s">
        <v>39</v>
      </c>
      <c r="I772" s="8" t="s">
        <v>40</v>
      </c>
      <c r="J772" s="9">
        <v>1</v>
      </c>
      <c r="K772" s="9">
        <v>240</v>
      </c>
      <c r="L772" s="9">
        <v>2025</v>
      </c>
      <c r="M772" s="8" t="s">
        <v>4566</v>
      </c>
      <c r="N772" s="8" t="s">
        <v>42</v>
      </c>
      <c r="O772" s="8" t="s">
        <v>43</v>
      </c>
      <c r="P772" s="6" t="s">
        <v>44</v>
      </c>
      <c r="Q772" s="8" t="s">
        <v>45</v>
      </c>
      <c r="R772" s="10" t="s">
        <v>4567</v>
      </c>
      <c r="S772" s="11"/>
      <c r="T772" s="6"/>
      <c r="U772" s="24" t="str">
        <f>HYPERLINK("https://media.infra-m.ru/2171/2171043/cover/2171043.jpg", "Обложка")</f>
        <v>Обложка</v>
      </c>
      <c r="V772" s="24" t="str">
        <f>HYPERLINK("https://znanium.ru/catalog/product/2171043", "Ознакомиться")</f>
        <v>Ознакомиться</v>
      </c>
      <c r="W772" s="8" t="s">
        <v>493</v>
      </c>
      <c r="X772" s="6" t="s">
        <v>1077</v>
      </c>
      <c r="Y772" s="6"/>
      <c r="Z772" s="6"/>
      <c r="AA772" s="6" t="s">
        <v>360</v>
      </c>
      <c r="AB772" s="8"/>
    </row>
  </sheetData>
  <mergeCells count="8">
    <mergeCell ref="A1:E1"/>
    <mergeCell ref="F1:I5"/>
    <mergeCell ref="J1:O1"/>
    <mergeCell ref="A2:E2"/>
    <mergeCell ref="J2:O5"/>
    <mergeCell ref="A3:E3"/>
    <mergeCell ref="A4:E4"/>
    <mergeCell ref="A5:E5"/>
  </mergeCells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USR1CV8</cp:lastModifiedBy>
  <dcterms:modified xsi:type="dcterms:W3CDTF">2025-11-04T22:13:44Z</dcterms:modified>
</cp:coreProperties>
</file>